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I TAP GIANG DAY\"/>
    </mc:Choice>
  </mc:AlternateContent>
  <bookViews>
    <workbookView xWindow="0" yWindow="0" windowWidth="19200" windowHeight="7965" activeTab="3"/>
  </bookViews>
  <sheets>
    <sheet name="Bài 1" sheetId="1" r:id="rId1"/>
    <sheet name="Bài 2" sheetId="2" r:id="rId2"/>
    <sheet name="Bài 3" sheetId="3" r:id="rId3"/>
    <sheet name="Bài 4" sheetId="4" r:id="rId4"/>
    <sheet name="Bài 5" sheetId="5" r:id="rId5"/>
    <sheet name="Bài 6" sheetId="6" r:id="rId6"/>
    <sheet name="Bài 7" sheetId="7" r:id="rId7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3" l="1"/>
  <c r="H4" i="4"/>
  <c r="E4" i="4"/>
  <c r="G4" i="3"/>
  <c r="E4" i="3"/>
  <c r="K4" i="2" l="1"/>
  <c r="F4" i="2"/>
  <c r="G4" i="2"/>
  <c r="H4" i="2"/>
  <c r="K10" i="7" l="1"/>
  <c r="K9" i="7"/>
  <c r="K8" i="7"/>
  <c r="K7" i="7"/>
  <c r="K6" i="7"/>
  <c r="K5" i="7"/>
  <c r="K4" i="7"/>
  <c r="J10" i="7"/>
  <c r="J9" i="7"/>
  <c r="J8" i="7"/>
  <c r="J7" i="7"/>
  <c r="J6" i="7"/>
  <c r="J5" i="7"/>
  <c r="J4" i="7"/>
  <c r="H10" i="7"/>
  <c r="H9" i="7"/>
  <c r="H8" i="7"/>
  <c r="H7" i="7"/>
  <c r="I7" i="7" s="1"/>
  <c r="H6" i="7"/>
  <c r="H5" i="7"/>
  <c r="H4" i="7"/>
  <c r="I4" i="7" s="1"/>
  <c r="I10" i="7"/>
  <c r="I9" i="7"/>
  <c r="I8" i="7"/>
  <c r="I6" i="7"/>
  <c r="I5" i="7"/>
  <c r="G10" i="7"/>
  <c r="G9" i="7"/>
  <c r="G8" i="7"/>
  <c r="G7" i="7"/>
  <c r="G6" i="7"/>
  <c r="G5" i="7"/>
  <c r="G4" i="7"/>
  <c r="F10" i="7"/>
  <c r="F9" i="7"/>
  <c r="F8" i="7"/>
  <c r="F7" i="7"/>
  <c r="F6" i="7"/>
  <c r="F5" i="7"/>
  <c r="F4" i="7"/>
  <c r="E10" i="7"/>
  <c r="E9" i="7"/>
  <c r="E8" i="7"/>
  <c r="E7" i="7"/>
  <c r="E6" i="7"/>
  <c r="E5" i="7"/>
  <c r="E4" i="7"/>
  <c r="G22" i="6"/>
  <c r="G21" i="6"/>
  <c r="G20" i="6"/>
  <c r="G19" i="6"/>
  <c r="J15" i="6"/>
  <c r="J14" i="6"/>
  <c r="J13" i="6"/>
  <c r="J12" i="6"/>
  <c r="J11" i="6"/>
  <c r="J10" i="6"/>
  <c r="J9" i="6"/>
  <c r="J8" i="6"/>
  <c r="J7" i="6"/>
  <c r="J6" i="6"/>
  <c r="J5" i="6"/>
  <c r="I12" i="6"/>
  <c r="I11" i="6"/>
  <c r="I10" i="6"/>
  <c r="I9" i="6"/>
  <c r="I8" i="6"/>
  <c r="I7" i="6"/>
  <c r="I6" i="6"/>
  <c r="I5" i="6"/>
  <c r="H12" i="6"/>
  <c r="H11" i="6"/>
  <c r="H10" i="6"/>
  <c r="H9" i="6"/>
  <c r="H8" i="6"/>
  <c r="H7" i="6"/>
  <c r="H6" i="6"/>
  <c r="H5" i="6"/>
  <c r="G12" i="6"/>
  <c r="G11" i="6"/>
  <c r="G10" i="6"/>
  <c r="G9" i="6"/>
  <c r="G8" i="6"/>
  <c r="G7" i="6"/>
  <c r="G6" i="6"/>
  <c r="G5" i="6"/>
  <c r="E12" i="6"/>
  <c r="E11" i="6"/>
  <c r="E10" i="6"/>
  <c r="E9" i="6"/>
  <c r="E8" i="6"/>
  <c r="E7" i="6"/>
  <c r="E6" i="6"/>
  <c r="E5" i="6"/>
  <c r="D12" i="6"/>
  <c r="D11" i="6"/>
  <c r="D10" i="6"/>
  <c r="D9" i="6"/>
  <c r="D8" i="6"/>
  <c r="D7" i="6"/>
  <c r="D6" i="6"/>
  <c r="D5" i="6"/>
  <c r="L9" i="5"/>
  <c r="L8" i="5"/>
  <c r="L7" i="5"/>
  <c r="L6" i="5"/>
  <c r="L5" i="5"/>
  <c r="L4" i="5"/>
  <c r="K9" i="5"/>
  <c r="K8" i="5"/>
  <c r="K7" i="5"/>
  <c r="K6" i="5"/>
  <c r="K5" i="5"/>
  <c r="K4" i="5"/>
  <c r="J9" i="5"/>
  <c r="J8" i="5"/>
  <c r="J7" i="5"/>
  <c r="J6" i="5"/>
  <c r="J5" i="5"/>
  <c r="J4" i="5"/>
  <c r="I9" i="5"/>
  <c r="I8" i="5"/>
  <c r="I7" i="5"/>
  <c r="I6" i="5"/>
  <c r="I5" i="5"/>
  <c r="I4" i="5"/>
  <c r="H9" i="5"/>
  <c r="H8" i="5"/>
  <c r="H7" i="5"/>
  <c r="H6" i="5"/>
  <c r="H5" i="5"/>
  <c r="H4" i="5"/>
  <c r="G9" i="5"/>
  <c r="G8" i="5"/>
  <c r="G7" i="5"/>
  <c r="G6" i="5"/>
  <c r="G5" i="5"/>
  <c r="G4" i="5"/>
  <c r="D9" i="5"/>
  <c r="D8" i="5"/>
  <c r="D7" i="5"/>
  <c r="D6" i="5"/>
  <c r="D5" i="5"/>
  <c r="D4" i="5"/>
  <c r="I21" i="4" l="1"/>
  <c r="H21" i="4"/>
  <c r="G21" i="4"/>
  <c r="K17" i="4"/>
  <c r="J17" i="4"/>
  <c r="I17" i="4"/>
  <c r="H17" i="4"/>
  <c r="G17" i="4"/>
  <c r="K16" i="4"/>
  <c r="J16" i="4"/>
  <c r="I16" i="4"/>
  <c r="H16" i="4"/>
  <c r="G16" i="4"/>
  <c r="K15" i="4"/>
  <c r="J15" i="4"/>
  <c r="I15" i="4"/>
  <c r="H15" i="4"/>
  <c r="G15" i="4"/>
  <c r="K14" i="4"/>
  <c r="J14" i="4"/>
  <c r="I14" i="4"/>
  <c r="H14" i="4"/>
  <c r="G14" i="4"/>
  <c r="K13" i="4"/>
  <c r="K12" i="4"/>
  <c r="K11" i="4"/>
  <c r="K10" i="4"/>
  <c r="K9" i="4"/>
  <c r="K8" i="4"/>
  <c r="K7" i="4"/>
  <c r="K6" i="4"/>
  <c r="K5" i="4"/>
  <c r="K4" i="4"/>
  <c r="J13" i="4"/>
  <c r="J12" i="4"/>
  <c r="J11" i="4"/>
  <c r="J10" i="4"/>
  <c r="J9" i="4"/>
  <c r="J8" i="4"/>
  <c r="J7" i="4"/>
  <c r="J6" i="4"/>
  <c r="J5" i="4"/>
  <c r="J4" i="4"/>
  <c r="I4" i="4"/>
  <c r="I5" i="4"/>
  <c r="I6" i="4"/>
  <c r="I7" i="4"/>
  <c r="I8" i="4"/>
  <c r="I9" i="4"/>
  <c r="I10" i="4"/>
  <c r="I11" i="4"/>
  <c r="I12" i="4"/>
  <c r="I13" i="4"/>
  <c r="H13" i="4"/>
  <c r="H12" i="4"/>
  <c r="H11" i="4"/>
  <c r="H10" i="4"/>
  <c r="H9" i="4"/>
  <c r="H8" i="4"/>
  <c r="H7" i="4"/>
  <c r="H6" i="4"/>
  <c r="H5" i="4"/>
  <c r="F13" i="4"/>
  <c r="F12" i="4"/>
  <c r="F11" i="4"/>
  <c r="F10" i="4"/>
  <c r="F9" i="4"/>
  <c r="F8" i="4"/>
  <c r="F7" i="4"/>
  <c r="F6" i="4"/>
  <c r="F5" i="4"/>
  <c r="F4" i="4"/>
  <c r="E13" i="4"/>
  <c r="E12" i="4"/>
  <c r="E11" i="4"/>
  <c r="E10" i="4"/>
  <c r="E9" i="4"/>
  <c r="E8" i="4"/>
  <c r="E7" i="4"/>
  <c r="E6" i="4"/>
  <c r="E5" i="4"/>
  <c r="D13" i="4"/>
  <c r="D12" i="4"/>
  <c r="D11" i="4"/>
  <c r="D10" i="4"/>
  <c r="D9" i="4"/>
  <c r="D8" i="4"/>
  <c r="D7" i="4"/>
  <c r="D6" i="4"/>
  <c r="D5" i="4"/>
  <c r="D4" i="4"/>
  <c r="K10" i="3"/>
  <c r="K9" i="3"/>
  <c r="K8" i="3"/>
  <c r="K7" i="3"/>
  <c r="K6" i="3"/>
  <c r="K5" i="3"/>
  <c r="K4" i="3"/>
  <c r="J10" i="3"/>
  <c r="J9" i="3"/>
  <c r="J8" i="3"/>
  <c r="J7" i="3"/>
  <c r="J6" i="3"/>
  <c r="J5" i="3"/>
  <c r="J4" i="3"/>
  <c r="I10" i="3"/>
  <c r="I9" i="3"/>
  <c r="I8" i="3"/>
  <c r="I7" i="3"/>
  <c r="I6" i="3"/>
  <c r="I5" i="3"/>
  <c r="H10" i="3"/>
  <c r="H9" i="3"/>
  <c r="H8" i="3"/>
  <c r="H7" i="3"/>
  <c r="H6" i="3"/>
  <c r="H5" i="3"/>
  <c r="H4" i="3"/>
  <c r="G10" i="3"/>
  <c r="G9" i="3"/>
  <c r="G8" i="3"/>
  <c r="G7" i="3"/>
  <c r="G6" i="3"/>
  <c r="G5" i="3"/>
  <c r="E10" i="3"/>
  <c r="E9" i="3"/>
  <c r="E8" i="3"/>
  <c r="E7" i="3"/>
  <c r="E6" i="3"/>
  <c r="E5" i="3"/>
  <c r="D10" i="3"/>
  <c r="D9" i="3"/>
  <c r="D8" i="3"/>
  <c r="D7" i="3"/>
  <c r="D6" i="3"/>
  <c r="D5" i="3"/>
  <c r="D4" i="3"/>
  <c r="K17" i="2" l="1"/>
  <c r="K16" i="2"/>
  <c r="K15" i="2"/>
  <c r="K14" i="2"/>
  <c r="K13" i="2"/>
  <c r="K12" i="2"/>
  <c r="K11" i="2"/>
  <c r="K10" i="2"/>
  <c r="K9" i="2"/>
  <c r="K8" i="2"/>
  <c r="K7" i="2"/>
  <c r="K6" i="2"/>
  <c r="K5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I9" i="1"/>
  <c r="I8" i="1"/>
  <c r="I7" i="1"/>
  <c r="I6" i="1"/>
  <c r="I5" i="1"/>
  <c r="I4" i="1"/>
  <c r="H9" i="1"/>
  <c r="H8" i="1"/>
  <c r="H7" i="1"/>
  <c r="H6" i="1"/>
  <c r="H5" i="1"/>
  <c r="H4" i="1"/>
  <c r="G9" i="1"/>
  <c r="G8" i="1"/>
  <c r="G7" i="1"/>
  <c r="G6" i="1"/>
  <c r="G5" i="1"/>
  <c r="F9" i="1"/>
  <c r="F8" i="1"/>
  <c r="F7" i="1"/>
  <c r="F6" i="1"/>
  <c r="F5" i="1"/>
  <c r="F4" i="1"/>
  <c r="G4" i="1" s="1"/>
  <c r="E9" i="1"/>
  <c r="E8" i="1"/>
  <c r="E7" i="1"/>
  <c r="E6" i="1"/>
  <c r="E5" i="1"/>
  <c r="E4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<sst xmlns="http://schemas.openxmlformats.org/spreadsheetml/2006/main" count="289" uniqueCount="236">
  <si>
    <t>BẢNG LƯƠNG NHÂN VIÊN</t>
  </si>
  <si>
    <t>MÃ NV</t>
  </si>
  <si>
    <t>Họ Tên</t>
  </si>
  <si>
    <t>Mã ngạch</t>
  </si>
  <si>
    <t>LCB</t>
  </si>
  <si>
    <t>Bậc</t>
  </si>
  <si>
    <t>Hệ số</t>
  </si>
  <si>
    <t>Lương</t>
  </si>
  <si>
    <t>Thuế</t>
  </si>
  <si>
    <t>NV101</t>
  </si>
  <si>
    <t>NV102</t>
  </si>
  <si>
    <t>NV203</t>
  </si>
  <si>
    <t>KT315</t>
  </si>
  <si>
    <t>CV205</t>
  </si>
  <si>
    <t>CV410</t>
  </si>
  <si>
    <t>Lâm Dũng</t>
  </si>
  <si>
    <t>Tú Anh</t>
  </si>
  <si>
    <t>Vũ Hoàng</t>
  </si>
  <si>
    <t>Phan Dũng</t>
  </si>
  <si>
    <t>Hoàng Dung</t>
  </si>
  <si>
    <t>Trần Minh</t>
  </si>
  <si>
    <t>Bảng 1</t>
  </si>
  <si>
    <t>NV</t>
  </si>
  <si>
    <t>KT</t>
  </si>
  <si>
    <t>CV</t>
  </si>
  <si>
    <t>Bảng 2</t>
  </si>
  <si>
    <t>BẬC</t>
  </si>
  <si>
    <t>TÍNH TIỀN KHÁCH SẠN</t>
  </si>
  <si>
    <t>Mã khách</t>
  </si>
  <si>
    <t>Tên</t>
  </si>
  <si>
    <t>Loại KS</t>
  </si>
  <si>
    <t>Đơn giá</t>
  </si>
  <si>
    <t>Nơi đến</t>
  </si>
  <si>
    <t>Số ngày ở</t>
  </si>
  <si>
    <t>Tiền ăn</t>
  </si>
  <si>
    <t>Phí bảo hiểm</t>
  </si>
  <si>
    <t>Thành tiền USD</t>
  </si>
  <si>
    <t>Thành tiền VNĐ</t>
  </si>
  <si>
    <t>NHA-1SAO-01</t>
  </si>
  <si>
    <t>NHA-MINI-03</t>
  </si>
  <si>
    <t>NHA-1SAO-04</t>
  </si>
  <si>
    <t>NHA-2SAO-11</t>
  </si>
  <si>
    <t>NHA-MINI-15</t>
  </si>
  <si>
    <t>DAL-MINI-14</t>
  </si>
  <si>
    <t>DAL-MINI-12</t>
  </si>
  <si>
    <t>DAL-2SAO-34</t>
  </si>
  <si>
    <t>DAL-2SAO-23</t>
  </si>
  <si>
    <t>DAL-3SAO-16</t>
  </si>
  <si>
    <t>HUE-1SAO-15</t>
  </si>
  <si>
    <t>HUE-3SAO-36</t>
  </si>
  <si>
    <t>HUE-3SAO-10</t>
  </si>
  <si>
    <t>HUE-2SAO-19</t>
  </si>
  <si>
    <t>Minh Thư</t>
  </si>
  <si>
    <t>Lan An</t>
  </si>
  <si>
    <t>Bảo Long</t>
  </si>
  <si>
    <t>Yến Linh</t>
  </si>
  <si>
    <t>Hoàng An</t>
  </si>
  <si>
    <t>Yến Trang</t>
  </si>
  <si>
    <t>Phương Phú</t>
  </si>
  <si>
    <t>Anh Thư</t>
  </si>
  <si>
    <t>Văn Minh</t>
  </si>
  <si>
    <t>An Bình</t>
  </si>
  <si>
    <t>Tấn Hùng</t>
  </si>
  <si>
    <t>Quốc Trung</t>
  </si>
  <si>
    <t>Hùng Lân</t>
  </si>
  <si>
    <t>MINI</t>
  </si>
  <si>
    <t>1SAO</t>
  </si>
  <si>
    <t>2SAO</t>
  </si>
  <si>
    <t>3SAO</t>
  </si>
  <si>
    <t>Mã nơi đến</t>
  </si>
  <si>
    <t>Tiền ăn (USD)</t>
  </si>
  <si>
    <t>DAL</t>
  </si>
  <si>
    <t>NHA</t>
  </si>
  <si>
    <t>HUE</t>
  </si>
  <si>
    <t>Đà Lạt</t>
  </si>
  <si>
    <t>Nha Trang</t>
  </si>
  <si>
    <t>Huế</t>
  </si>
  <si>
    <t>Tỷ giá</t>
  </si>
  <si>
    <t>HÓA ĐƠN HÀNG HÓA</t>
  </si>
  <si>
    <t>MSHH</t>
  </si>
  <si>
    <t>TÊN SÁCH</t>
  </si>
  <si>
    <t>MÃ SÁCH</t>
  </si>
  <si>
    <t>LOẠI SÁCH</t>
  </si>
  <si>
    <t>SỐ LƯỢNG</t>
  </si>
  <si>
    <t>ĐƠN GIÁ</t>
  </si>
  <si>
    <t>THÀNH TIỀN</t>
  </si>
  <si>
    <t>PHÍ VẬN CHUYỂN</t>
  </si>
  <si>
    <t>TIỀN GIẢM</t>
  </si>
  <si>
    <t>A0G2</t>
  </si>
  <si>
    <t>A1G2</t>
  </si>
  <si>
    <t>C0T1</t>
  </si>
  <si>
    <t>B0K1</t>
  </si>
  <si>
    <t>A2G2</t>
  </si>
  <si>
    <t>D1K1</t>
  </si>
  <si>
    <t>C1T2</t>
  </si>
  <si>
    <t>Đại số 11</t>
  </si>
  <si>
    <t>Quang học 11</t>
  </si>
  <si>
    <t>Giàn Thiên Lý</t>
  </si>
  <si>
    <t>Dạy Toán 6</t>
  </si>
  <si>
    <t>Văn Học 12</t>
  </si>
  <si>
    <t>Tâm lý HS</t>
  </si>
  <si>
    <t>Thủy Hữ</t>
  </si>
  <si>
    <t>Bảng Loại Sách</t>
  </si>
  <si>
    <t>Đ. GIÁ</t>
  </si>
  <si>
    <t>G</t>
  </si>
  <si>
    <t>T</t>
  </si>
  <si>
    <t>K</t>
  </si>
  <si>
    <t>Giáo khoa</t>
  </si>
  <si>
    <t>Truyện</t>
  </si>
  <si>
    <t>Tham khảo</t>
  </si>
  <si>
    <t>Bảng phí vận chuyển</t>
  </si>
  <si>
    <t>Số lượng</t>
  </si>
  <si>
    <t>Phí</t>
  </si>
  <si>
    <t>PHẢI TRẢ</t>
  </si>
  <si>
    <t>BẢNG KẾT TOÁN HÀNG NHẬP KHẨU</t>
  </si>
  <si>
    <t>STT</t>
  </si>
  <si>
    <t>MÃ C. TỪ</t>
  </si>
  <si>
    <t>MÃ HÀNG</t>
  </si>
  <si>
    <t>TÊN HÀNG</t>
  </si>
  <si>
    <t>SỐ C. TỪ</t>
  </si>
  <si>
    <t>SL</t>
  </si>
  <si>
    <t>THUẾ</t>
  </si>
  <si>
    <t>Tổng cộng</t>
  </si>
  <si>
    <t>Trung bình</t>
  </si>
  <si>
    <t>Nhỏ nhất</t>
  </si>
  <si>
    <t>Lớn nhất</t>
  </si>
  <si>
    <t>SB</t>
  </si>
  <si>
    <t>TL</t>
  </si>
  <si>
    <t>DG</t>
  </si>
  <si>
    <t>RU</t>
  </si>
  <si>
    <t>BN</t>
  </si>
  <si>
    <t>Sữa bột</t>
  </si>
  <si>
    <t>Thuốc lá</t>
  </si>
  <si>
    <t>Đường</t>
  </si>
  <si>
    <t>Rượu</t>
  </si>
  <si>
    <t>Bột ngọt</t>
  </si>
  <si>
    <t>Bảng thống kê phụ</t>
  </si>
  <si>
    <t>Số lần nhập</t>
  </si>
  <si>
    <t>SB205</t>
  </si>
  <si>
    <t>TL402</t>
  </si>
  <si>
    <t>SB401</t>
  </si>
  <si>
    <t>DG1C3</t>
  </si>
  <si>
    <t>DG2C2</t>
  </si>
  <si>
    <t>BN503</t>
  </si>
  <si>
    <t>SB303</t>
  </si>
  <si>
    <t>RU201</t>
  </si>
  <si>
    <t>RU104</t>
  </si>
  <si>
    <t>SB507</t>
  </si>
  <si>
    <t>BẢNG THANH TOÁN TIỀN ĐIỆN</t>
  </si>
  <si>
    <t>MÃ KH</t>
  </si>
  <si>
    <t>HỌ TÊN KH</t>
  </si>
  <si>
    <t>LOẠI HỘ</t>
  </si>
  <si>
    <t>CS CŨ</t>
  </si>
  <si>
    <t>CS MỚI</t>
  </si>
  <si>
    <t>TIÊU THỤ</t>
  </si>
  <si>
    <t>ĐỊNH MỨC</t>
  </si>
  <si>
    <t>SỐ KW VƯỢT</t>
  </si>
  <si>
    <t>TIỀN TRONG ĐM</t>
  </si>
  <si>
    <t>TIỀN VƯỢT ĐM</t>
  </si>
  <si>
    <t>ND001</t>
  </si>
  <si>
    <t>ND002</t>
  </si>
  <si>
    <t>SX003</t>
  </si>
  <si>
    <t>SX004</t>
  </si>
  <si>
    <t>KD005</t>
  </si>
  <si>
    <t>KD006</t>
  </si>
  <si>
    <t>Lê Anh</t>
  </si>
  <si>
    <t>Lý Bảo</t>
  </si>
  <si>
    <t>Hà Cúc</t>
  </si>
  <si>
    <t>Tôn Vũ</t>
  </si>
  <si>
    <t>Lý Nhân</t>
  </si>
  <si>
    <t>Lê Cam</t>
  </si>
  <si>
    <t>Bảng 1: Định mức và đơn giá</t>
  </si>
  <si>
    <t>ND</t>
  </si>
  <si>
    <t>SX</t>
  </si>
  <si>
    <t>KD</t>
  </si>
  <si>
    <t>Bảng 2: Hệ số vượt</t>
  </si>
  <si>
    <t>Số KW vượt ĐM</t>
  </si>
  <si>
    <t>Hệ số vượt</t>
  </si>
  <si>
    <t>HÓA ĐƠN BÁN HÀNG</t>
  </si>
  <si>
    <t>Mặt hàng</t>
  </si>
  <si>
    <t>Mã HĐ</t>
  </si>
  <si>
    <t>Mã Hàng</t>
  </si>
  <si>
    <t>Tên hàng</t>
  </si>
  <si>
    <t>Tiền nhập</t>
  </si>
  <si>
    <t>Tiền xuất</t>
  </si>
  <si>
    <t>Thuế VAT</t>
  </si>
  <si>
    <t>Lợi nhuận</t>
  </si>
  <si>
    <t>Số lượng - Giá cả</t>
  </si>
  <si>
    <t>KB001</t>
  </si>
  <si>
    <t>KB002</t>
  </si>
  <si>
    <t>MO001</t>
  </si>
  <si>
    <t>FD001</t>
  </si>
  <si>
    <t>HD002</t>
  </si>
  <si>
    <t>MO002</t>
  </si>
  <si>
    <t>FD003</t>
  </si>
  <si>
    <t>HD003</t>
  </si>
  <si>
    <t>Thấp nhất</t>
  </si>
  <si>
    <t>Cao nhất</t>
  </si>
  <si>
    <t>Bảng giá nhập</t>
  </si>
  <si>
    <t>KB</t>
  </si>
  <si>
    <t>HD</t>
  </si>
  <si>
    <t>MO</t>
  </si>
  <si>
    <t>FD</t>
  </si>
  <si>
    <t>Giá nhập</t>
  </si>
  <si>
    <t>Keyboard</t>
  </si>
  <si>
    <t>Hard Disk</t>
  </si>
  <si>
    <t>Monitor</t>
  </si>
  <si>
    <t>Floppy Disk</t>
  </si>
  <si>
    <t>Mã hàng</t>
  </si>
  <si>
    <t>Bảng thống kê</t>
  </si>
  <si>
    <t>HỌ &amp; TÊN</t>
  </si>
  <si>
    <t>Xếp loại</t>
  </si>
  <si>
    <t>Thưởng</t>
  </si>
  <si>
    <t>Còn lại</t>
  </si>
  <si>
    <t>LD3-001</t>
  </si>
  <si>
    <t>LD2-003</t>
  </si>
  <si>
    <t>CV3-005</t>
  </si>
  <si>
    <t>CV1-007</t>
  </si>
  <si>
    <t>NV1-008</t>
  </si>
  <si>
    <t>NV2-013</t>
  </si>
  <si>
    <t>NV3-014</t>
  </si>
  <si>
    <t>Lê Phương Nam</t>
  </si>
  <si>
    <t>Tôn Vũ Bắc</t>
  </si>
  <si>
    <t>Tố Vân Long</t>
  </si>
  <si>
    <t>Dương Tô Phong</t>
  </si>
  <si>
    <t>Hàn Việt Vân</t>
  </si>
  <si>
    <t>Huỳnh Lê Nhật</t>
  </si>
  <si>
    <t>Lê Hải Nguyệt</t>
  </si>
  <si>
    <t>A</t>
  </si>
  <si>
    <t>C</t>
  </si>
  <si>
    <t>B</t>
  </si>
  <si>
    <t>Bảng tiền thưởng</t>
  </si>
  <si>
    <t>Tiền thưởng</t>
  </si>
  <si>
    <t>Bảng hệ số</t>
  </si>
  <si>
    <t>LD</t>
  </si>
  <si>
    <t>Lương căn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</si>
</sst>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164" fontId="0" fillId="0" borderId="6" xfId="1" applyNumberFormat="1" applyFont="1" applyBorder="1"/>
    <xf numFmtId="164" fontId="0" fillId="0" borderId="9" xfId="1" applyNumberFormat="1" applyFont="1" applyBorder="1"/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1" xfId="1" applyNumberFormat="1" applyFont="1" applyBorder="1"/>
    <xf numFmtId="164" fontId="0" fillId="0" borderId="1" xfId="1" applyNumberFormat="1" applyFont="1" applyBorder="1"/>
    <xf numFmtId="0" fontId="0" fillId="0" borderId="1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" xfId="0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17" xfId="0" applyBorder="1"/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/>
    </xf>
    <xf numFmtId="164" fontId="0" fillId="0" borderId="6" xfId="0" applyNumberFormat="1" applyBorder="1"/>
    <xf numFmtId="0" fontId="0" fillId="0" borderId="16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11" xfId="0" applyFont="1" applyBorder="1" applyAlignment="1">
      <alignment horizontal="center"/>
    </xf>
    <xf numFmtId="164" fontId="4" fillId="0" borderId="11" xfId="1" applyNumberFormat="1" applyFont="1" applyBorder="1"/>
    <xf numFmtId="164" fontId="4" fillId="0" borderId="12" xfId="1" applyNumberFormat="1" applyFont="1" applyBorder="1"/>
    <xf numFmtId="0" fontId="4" fillId="0" borderId="1" xfId="0" applyFont="1" applyBorder="1" applyAlignment="1">
      <alignment horizontal="center"/>
    </xf>
    <xf numFmtId="164" fontId="4" fillId="0" borderId="1" xfId="1" applyNumberFormat="1" applyFont="1" applyBorder="1"/>
    <xf numFmtId="164" fontId="4" fillId="0" borderId="6" xfId="1" applyNumberFormat="1" applyFont="1" applyBorder="1"/>
    <xf numFmtId="0" fontId="4" fillId="0" borderId="8" xfId="0" applyFont="1" applyBorder="1" applyAlignment="1">
      <alignment horizontal="center"/>
    </xf>
    <xf numFmtId="164" fontId="4" fillId="0" borderId="8" xfId="1" applyNumberFormat="1" applyFont="1" applyBorder="1"/>
    <xf numFmtId="164" fontId="4" fillId="0" borderId="9" xfId="1" applyNumberFormat="1" applyFont="1" applyBorder="1"/>
    <xf numFmtId="0" fontId="4" fillId="0" borderId="11" xfId="0" applyFont="1" applyBorder="1"/>
    <xf numFmtId="0" fontId="4" fillId="0" borderId="1" xfId="0" applyFont="1" applyBorder="1"/>
    <xf numFmtId="0" fontId="4" fillId="0" borderId="8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8" xfId="1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3" borderId="13" xfId="0" applyFont="1" applyFill="1" applyBorder="1"/>
    <xf numFmtId="0" fontId="2" fillId="3" borderId="14" xfId="0" applyFont="1" applyFill="1" applyBorder="1"/>
    <xf numFmtId="0" fontId="2" fillId="3" borderId="15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64" fontId="0" fillId="0" borderId="1" xfId="0" applyNumberFormat="1" applyBorder="1"/>
    <xf numFmtId="0" fontId="0" fillId="0" borderId="10" xfId="0" applyBorder="1" applyAlignment="1">
      <alignment horizontal="center"/>
    </xf>
    <xf numFmtId="164" fontId="0" fillId="0" borderId="11" xfId="0" applyNumberFormat="1" applyBorder="1"/>
    <xf numFmtId="164" fontId="0" fillId="0" borderId="12" xfId="0" applyNumberFormat="1" applyBorder="1"/>
    <xf numFmtId="0" fontId="2" fillId="0" borderId="1" xfId="0" applyFont="1" applyBorder="1"/>
    <xf numFmtId="164" fontId="2" fillId="0" borderId="1" xfId="1" applyNumberFormat="1" applyFont="1" applyBorder="1"/>
    <xf numFmtId="164" fontId="2" fillId="0" borderId="6" xfId="1" applyNumberFormat="1" applyFont="1" applyBorder="1"/>
    <xf numFmtId="0" fontId="2" fillId="0" borderId="8" xfId="0" applyFont="1" applyBorder="1"/>
    <xf numFmtId="164" fontId="2" fillId="0" borderId="8" xfId="1" applyNumberFormat="1" applyFont="1" applyBorder="1"/>
    <xf numFmtId="164" fontId="2" fillId="0" borderId="9" xfId="1" applyNumberFormat="1" applyFont="1" applyBorder="1"/>
    <xf numFmtId="0" fontId="5" fillId="0" borderId="0" xfId="0" applyFont="1"/>
    <xf numFmtId="0" fontId="5" fillId="0" borderId="1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6" fillId="3" borderId="13" xfId="0" applyFont="1" applyFill="1" applyBorder="1"/>
    <xf numFmtId="0" fontId="6" fillId="3" borderId="14" xfId="0" applyFont="1" applyFill="1" applyBorder="1"/>
    <xf numFmtId="0" fontId="6" fillId="3" borderId="15" xfId="0" applyFont="1" applyFill="1" applyBorder="1"/>
    <xf numFmtId="0" fontId="5" fillId="0" borderId="16" xfId="0" applyFont="1" applyBorder="1"/>
    <xf numFmtId="0" fontId="5" fillId="0" borderId="17" xfId="0" applyFont="1" applyBorder="1"/>
    <xf numFmtId="0" fontId="6" fillId="3" borderId="18" xfId="0" applyFont="1" applyFill="1" applyBorder="1"/>
    <xf numFmtId="0" fontId="6" fillId="3" borderId="19" xfId="0" applyFont="1" applyFill="1" applyBorder="1"/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1" xfId="1" applyNumberFormat="1" applyFont="1" applyBorder="1"/>
    <xf numFmtId="165" fontId="0" fillId="0" borderId="1" xfId="1" applyNumberFormat="1" applyFont="1" applyBorder="1"/>
    <xf numFmtId="165" fontId="0" fillId="0" borderId="12" xfId="1" applyNumberFormat="1" applyFont="1" applyBorder="1"/>
    <xf numFmtId="165" fontId="0" fillId="0" borderId="6" xfId="1" applyNumberFormat="1" applyFont="1" applyBorder="1"/>
    <xf numFmtId="165" fontId="2" fillId="0" borderId="6" xfId="0" applyNumberFormat="1" applyFont="1" applyBorder="1"/>
    <xf numFmtId="165" fontId="2" fillId="0" borderId="9" xfId="0" applyNumberFormat="1" applyFont="1" applyBorder="1"/>
    <xf numFmtId="0" fontId="0" fillId="0" borderId="7" xfId="0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165" fontId="0" fillId="0" borderId="9" xfId="1" applyNumberFormat="1" applyFont="1" applyBorder="1"/>
    <xf numFmtId="0" fontId="2" fillId="3" borderId="1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0" xfId="0" applyFont="1"/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topLeftCell="A4" workbookViewId="0">
      <selection activeCell="G4" sqref="G4"/>
    </sheetView>
  </sheetViews>
  <sheetFormatPr defaultRowHeight="15" x14ac:dyDescent="0.25"/>
  <cols>
    <col min="1" max="1" width="3.28515625" customWidth="1"/>
    <col min="2" max="2" width="9.28515625" bestFit="1" customWidth="1"/>
    <col min="3" max="3" width="14" customWidth="1"/>
    <col min="5" max="5" width="11.5703125" bestFit="1" customWidth="1"/>
    <col min="8" max="8" width="12" customWidth="1"/>
    <col min="9" max="9" width="10.5703125" bestFit="1" customWidth="1"/>
  </cols>
  <sheetData>
    <row r="2" spans="2:9" ht="21.75" thickBot="1" x14ac:dyDescent="0.4">
      <c r="B2" s="158" t="s">
        <v>0</v>
      </c>
      <c r="C2" s="158"/>
      <c r="D2" s="158"/>
      <c r="E2" s="158"/>
      <c r="F2" s="158"/>
      <c r="G2" s="158"/>
      <c r="H2" s="158"/>
      <c r="I2" s="158"/>
    </row>
    <row r="3" spans="2:9" ht="15.75" thickBot="1" x14ac:dyDescent="0.3">
      <c r="B3" s="10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2" t="s">
        <v>8</v>
      </c>
    </row>
    <row r="4" spans="2:9" x14ac:dyDescent="0.25">
      <c r="B4" s="7" t="s">
        <v>9</v>
      </c>
      <c r="C4" s="8" t="s">
        <v>20</v>
      </c>
      <c r="D4" s="64" t="str">
        <f>LEFT(B4,2)</f>
        <v>NV</v>
      </c>
      <c r="E4" s="65">
        <f>VLOOKUP(D4,$B$13:$C$15,2,FALSE)</f>
        <v>300000</v>
      </c>
      <c r="F4" s="64">
        <f>INT(MID(B4,3,1))</f>
        <v>1</v>
      </c>
      <c r="G4" s="64">
        <f>HLOOKUP(F4,$F$12:$I$13,2,FALSE)</f>
        <v>1.82</v>
      </c>
      <c r="H4" s="65">
        <f>E4*G4</f>
        <v>546000</v>
      </c>
      <c r="I4" s="66">
        <f>IF(H4&gt;1000000,(H4-1000000)*0.1,0)</f>
        <v>0</v>
      </c>
    </row>
    <row r="5" spans="2:9" x14ac:dyDescent="0.25">
      <c r="B5" s="2" t="s">
        <v>10</v>
      </c>
      <c r="C5" s="1" t="s">
        <v>19</v>
      </c>
      <c r="D5" s="67" t="str">
        <f t="shared" ref="D5:D9" si="0">LEFT(B5,2)</f>
        <v>NV</v>
      </c>
      <c r="E5" s="68">
        <f t="shared" ref="E5:E9" si="1">VLOOKUP(D5,$B$13:$C$15,2,FALSE)</f>
        <v>300000</v>
      </c>
      <c r="F5" s="67">
        <f t="shared" ref="F5:F9" si="2">INT(MID(B5,3,1))</f>
        <v>1</v>
      </c>
      <c r="G5" s="67">
        <f t="shared" ref="G5:G9" si="3">HLOOKUP(F5,$F$12:$I$13,2,FALSE)</f>
        <v>1.82</v>
      </c>
      <c r="H5" s="68">
        <f t="shared" ref="H5:H9" si="4">E5*G5</f>
        <v>546000</v>
      </c>
      <c r="I5" s="69">
        <f t="shared" ref="I5:I9" si="5">IF(H5&gt;1000000,(H5-1000000)*0.1,0)</f>
        <v>0</v>
      </c>
    </row>
    <row r="6" spans="2:9" x14ac:dyDescent="0.25">
      <c r="B6" s="2" t="s">
        <v>11</v>
      </c>
      <c r="C6" s="1" t="s">
        <v>18</v>
      </c>
      <c r="D6" s="67" t="str">
        <f t="shared" si="0"/>
        <v>NV</v>
      </c>
      <c r="E6" s="68">
        <f t="shared" si="1"/>
        <v>300000</v>
      </c>
      <c r="F6" s="67">
        <f t="shared" si="2"/>
        <v>2</v>
      </c>
      <c r="G6" s="67">
        <f t="shared" si="3"/>
        <v>2.2400000000000002</v>
      </c>
      <c r="H6" s="68">
        <f t="shared" si="4"/>
        <v>672000.00000000012</v>
      </c>
      <c r="I6" s="69">
        <f t="shared" si="5"/>
        <v>0</v>
      </c>
    </row>
    <row r="7" spans="2:9" x14ac:dyDescent="0.25">
      <c r="B7" s="2" t="s">
        <v>12</v>
      </c>
      <c r="C7" s="1" t="s">
        <v>17</v>
      </c>
      <c r="D7" s="67" t="str">
        <f t="shared" si="0"/>
        <v>KT</v>
      </c>
      <c r="E7" s="68">
        <f t="shared" si="1"/>
        <v>350000</v>
      </c>
      <c r="F7" s="67">
        <f t="shared" si="2"/>
        <v>3</v>
      </c>
      <c r="G7" s="67">
        <f t="shared" si="3"/>
        <v>2.75</v>
      </c>
      <c r="H7" s="68">
        <f t="shared" si="4"/>
        <v>962500</v>
      </c>
      <c r="I7" s="69">
        <f t="shared" si="5"/>
        <v>0</v>
      </c>
    </row>
    <row r="8" spans="2:9" x14ac:dyDescent="0.25">
      <c r="B8" s="2" t="s">
        <v>13</v>
      </c>
      <c r="C8" s="1" t="s">
        <v>16</v>
      </c>
      <c r="D8" s="67" t="str">
        <f t="shared" si="0"/>
        <v>CV</v>
      </c>
      <c r="E8" s="68">
        <f t="shared" si="1"/>
        <v>450000</v>
      </c>
      <c r="F8" s="67">
        <f t="shared" si="2"/>
        <v>2</v>
      </c>
      <c r="G8" s="67">
        <f t="shared" si="3"/>
        <v>2.2400000000000002</v>
      </c>
      <c r="H8" s="68">
        <f t="shared" si="4"/>
        <v>1008000.0000000001</v>
      </c>
      <c r="I8" s="69">
        <f t="shared" si="5"/>
        <v>800.00000000001171</v>
      </c>
    </row>
    <row r="9" spans="2:9" ht="15.75" thickBot="1" x14ac:dyDescent="0.3">
      <c r="B9" s="4" t="s">
        <v>14</v>
      </c>
      <c r="C9" s="5" t="s">
        <v>15</v>
      </c>
      <c r="D9" s="70" t="str">
        <f t="shared" si="0"/>
        <v>CV</v>
      </c>
      <c r="E9" s="71">
        <f t="shared" si="1"/>
        <v>450000</v>
      </c>
      <c r="F9" s="70">
        <f t="shared" si="2"/>
        <v>4</v>
      </c>
      <c r="G9" s="70">
        <f t="shared" si="3"/>
        <v>3.56</v>
      </c>
      <c r="H9" s="71">
        <f t="shared" si="4"/>
        <v>1602000</v>
      </c>
      <c r="I9" s="72">
        <f t="shared" si="5"/>
        <v>60200</v>
      </c>
    </row>
    <row r="11" spans="2:9" ht="15.75" thickBot="1" x14ac:dyDescent="0.3">
      <c r="B11" t="s">
        <v>21</v>
      </c>
      <c r="E11" t="s">
        <v>25</v>
      </c>
    </row>
    <row r="12" spans="2:9" ht="15.75" thickBot="1" x14ac:dyDescent="0.3">
      <c r="B12" s="10" t="s">
        <v>3</v>
      </c>
      <c r="C12" s="12" t="s">
        <v>4</v>
      </c>
      <c r="E12" s="15" t="s">
        <v>26</v>
      </c>
      <c r="F12" s="17">
        <v>1</v>
      </c>
      <c r="G12" s="17">
        <v>2</v>
      </c>
      <c r="H12" s="17">
        <v>3</v>
      </c>
      <c r="I12" s="18">
        <v>4</v>
      </c>
    </row>
    <row r="13" spans="2:9" ht="15.75" thickBot="1" x14ac:dyDescent="0.3">
      <c r="B13" s="2" t="s">
        <v>22</v>
      </c>
      <c r="C13" s="13">
        <v>300000</v>
      </c>
      <c r="E13" s="16" t="s">
        <v>6</v>
      </c>
      <c r="F13" s="5">
        <v>1.82</v>
      </c>
      <c r="G13" s="5">
        <v>2.2400000000000002</v>
      </c>
      <c r="H13" s="5">
        <v>2.75</v>
      </c>
      <c r="I13" s="6">
        <v>3.56</v>
      </c>
    </row>
    <row r="14" spans="2:9" x14ac:dyDescent="0.25">
      <c r="B14" s="2" t="s">
        <v>23</v>
      </c>
      <c r="C14" s="13">
        <v>350000</v>
      </c>
    </row>
    <row r="15" spans="2:9" ht="15.75" thickBot="1" x14ac:dyDescent="0.3">
      <c r="B15" s="4" t="s">
        <v>24</v>
      </c>
      <c r="C15" s="14">
        <v>450000</v>
      </c>
    </row>
  </sheetData>
  <mergeCells count="1">
    <mergeCell ref="B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topLeftCell="A13" zoomScaleNormal="100" workbookViewId="0">
      <selection activeCell="L28" sqref="L28"/>
    </sheetView>
  </sheetViews>
  <sheetFormatPr defaultRowHeight="15" x14ac:dyDescent="0.25"/>
  <cols>
    <col min="1" max="1" width="3.28515625" customWidth="1"/>
    <col min="2" max="2" width="15.5703125" customWidth="1"/>
    <col min="3" max="3" width="13.85546875" customWidth="1"/>
    <col min="6" max="6" width="11.28515625" customWidth="1"/>
    <col min="11" max="11" width="13.28515625" bestFit="1" customWidth="1"/>
  </cols>
  <sheetData>
    <row r="1" spans="2:11" x14ac:dyDescent="0.25">
      <c r="J1" t="s">
        <v>77</v>
      </c>
      <c r="K1">
        <v>18100</v>
      </c>
    </row>
    <row r="2" spans="2:11" ht="21.75" thickBot="1" x14ac:dyDescent="0.4">
      <c r="B2" s="158" t="s">
        <v>27</v>
      </c>
      <c r="C2" s="158"/>
      <c r="D2" s="158"/>
      <c r="E2" s="158"/>
      <c r="F2" s="158"/>
      <c r="G2" s="158"/>
      <c r="H2" s="158"/>
      <c r="I2" s="158"/>
      <c r="J2" s="158"/>
      <c r="K2" s="158"/>
    </row>
    <row r="3" spans="2:11" ht="30.75" thickBot="1" x14ac:dyDescent="0.3">
      <c r="B3" s="37" t="s">
        <v>28</v>
      </c>
      <c r="C3" s="38" t="s">
        <v>29</v>
      </c>
      <c r="D3" s="38" t="s">
        <v>30</v>
      </c>
      <c r="E3" s="38" t="s">
        <v>31</v>
      </c>
      <c r="F3" s="38" t="s">
        <v>32</v>
      </c>
      <c r="G3" s="38" t="s">
        <v>33</v>
      </c>
      <c r="H3" s="38" t="s">
        <v>34</v>
      </c>
      <c r="I3" s="38" t="s">
        <v>35</v>
      </c>
      <c r="J3" s="38" t="s">
        <v>36</v>
      </c>
      <c r="K3" s="39" t="s">
        <v>37</v>
      </c>
    </row>
    <row r="4" spans="2:11" x14ac:dyDescent="0.25">
      <c r="B4" s="7" t="s">
        <v>38</v>
      </c>
      <c r="C4" s="8" t="s">
        <v>16</v>
      </c>
      <c r="D4" s="73" t="str">
        <f>MID(B4,5,4)</f>
        <v>1SAO</v>
      </c>
      <c r="E4" s="73">
        <f>VLOOKUP(D4,$B$21:$C$24,2,FALSE)</f>
        <v>8</v>
      </c>
      <c r="F4" s="73" t="str">
        <f>VLOOKUP(LEFT(B4,3),$E$21:$H$23,2,FALSE)</f>
        <v>Nha Trang</v>
      </c>
      <c r="G4" s="73">
        <f>VLOOKUP(LEFT(B4,3),$E$21:$H$23,3,FALSE)</f>
        <v>4</v>
      </c>
      <c r="H4" s="73">
        <f>VLOOKUP(LEFT(B4,3),$E$21:$H$23,4,FALSE)</f>
        <v>22</v>
      </c>
      <c r="I4" s="73">
        <f>IF(F4="Đà Lạt", 5, IF(F4="Nha Trang", 7, 10))</f>
        <v>7</v>
      </c>
      <c r="J4" s="73">
        <f>E4*G4+H4+I4</f>
        <v>61</v>
      </c>
      <c r="K4" s="66">
        <f>J4*$K$1</f>
        <v>1104100</v>
      </c>
    </row>
    <row r="5" spans="2:11" x14ac:dyDescent="0.25">
      <c r="B5" s="2" t="s">
        <v>39</v>
      </c>
      <c r="C5" s="1" t="s">
        <v>52</v>
      </c>
      <c r="D5" s="74" t="str">
        <f t="shared" ref="D5:D17" si="0">MID(B5,5,4)</f>
        <v>MINI</v>
      </c>
      <c r="E5" s="74">
        <f t="shared" ref="E5:E17" si="1">VLOOKUP(D5,$B$21:$C$24,2,FALSE)</f>
        <v>5</v>
      </c>
      <c r="F5" s="74" t="str">
        <f t="shared" ref="F5:F17" si="2">VLOOKUP(LEFT(B5,3),$E$21:$H$23,2,FALSE)</f>
        <v>Nha Trang</v>
      </c>
      <c r="G5" s="74">
        <f t="shared" ref="G5:G17" si="3">VLOOKUP(LEFT(B5,3),$E$21:$H$23,3,FALSE)</f>
        <v>4</v>
      </c>
      <c r="H5" s="74">
        <f t="shared" ref="H5:H17" si="4">VLOOKUP(LEFT(B5,3),$E$21:$H$23,4,FALSE)</f>
        <v>22</v>
      </c>
      <c r="I5" s="74">
        <f t="shared" ref="I5:I17" si="5">IF(F5="Đà Lạt", 5, IF(F5="Nha Trang", 7, 10))</f>
        <v>7</v>
      </c>
      <c r="J5" s="74">
        <f t="shared" ref="J5:J17" si="6">E5*G5+H5+I5</f>
        <v>49</v>
      </c>
      <c r="K5" s="69">
        <f t="shared" ref="K5:K17" si="7">J5*$K$1</f>
        <v>886900</v>
      </c>
    </row>
    <row r="6" spans="2:11" x14ac:dyDescent="0.25">
      <c r="B6" s="2" t="s">
        <v>40</v>
      </c>
      <c r="C6" s="1" t="s">
        <v>53</v>
      </c>
      <c r="D6" s="74" t="str">
        <f t="shared" si="0"/>
        <v>1SAO</v>
      </c>
      <c r="E6" s="74">
        <f t="shared" si="1"/>
        <v>8</v>
      </c>
      <c r="F6" s="74" t="str">
        <f t="shared" si="2"/>
        <v>Nha Trang</v>
      </c>
      <c r="G6" s="74">
        <f t="shared" si="3"/>
        <v>4</v>
      </c>
      <c r="H6" s="74">
        <f t="shared" si="4"/>
        <v>22</v>
      </c>
      <c r="I6" s="74">
        <f t="shared" si="5"/>
        <v>7</v>
      </c>
      <c r="J6" s="74">
        <f t="shared" si="6"/>
        <v>61</v>
      </c>
      <c r="K6" s="69">
        <f t="shared" si="7"/>
        <v>1104100</v>
      </c>
    </row>
    <row r="7" spans="2:11" x14ac:dyDescent="0.25">
      <c r="B7" s="2" t="s">
        <v>41</v>
      </c>
      <c r="C7" s="1" t="s">
        <v>54</v>
      </c>
      <c r="D7" s="74" t="str">
        <f t="shared" si="0"/>
        <v>2SAO</v>
      </c>
      <c r="E7" s="74">
        <f t="shared" si="1"/>
        <v>12</v>
      </c>
      <c r="F7" s="74" t="str">
        <f t="shared" si="2"/>
        <v>Nha Trang</v>
      </c>
      <c r="G7" s="74">
        <f t="shared" si="3"/>
        <v>4</v>
      </c>
      <c r="H7" s="74">
        <f t="shared" si="4"/>
        <v>22</v>
      </c>
      <c r="I7" s="74">
        <f t="shared" si="5"/>
        <v>7</v>
      </c>
      <c r="J7" s="74">
        <f t="shared" si="6"/>
        <v>77</v>
      </c>
      <c r="K7" s="69">
        <f t="shared" si="7"/>
        <v>1393700</v>
      </c>
    </row>
    <row r="8" spans="2:11" x14ac:dyDescent="0.25">
      <c r="B8" s="2" t="s">
        <v>42</v>
      </c>
      <c r="C8" s="1" t="s">
        <v>55</v>
      </c>
      <c r="D8" s="74" t="str">
        <f t="shared" si="0"/>
        <v>MINI</v>
      </c>
      <c r="E8" s="74">
        <f t="shared" si="1"/>
        <v>5</v>
      </c>
      <c r="F8" s="74" t="str">
        <f t="shared" si="2"/>
        <v>Nha Trang</v>
      </c>
      <c r="G8" s="74">
        <f t="shared" si="3"/>
        <v>4</v>
      </c>
      <c r="H8" s="74">
        <f t="shared" si="4"/>
        <v>22</v>
      </c>
      <c r="I8" s="74">
        <f t="shared" si="5"/>
        <v>7</v>
      </c>
      <c r="J8" s="74">
        <f t="shared" si="6"/>
        <v>49</v>
      </c>
      <c r="K8" s="69">
        <f t="shared" si="7"/>
        <v>886900</v>
      </c>
    </row>
    <row r="9" spans="2:11" x14ac:dyDescent="0.25">
      <c r="B9" s="2" t="s">
        <v>43</v>
      </c>
      <c r="C9" s="1" t="s">
        <v>56</v>
      </c>
      <c r="D9" s="74" t="str">
        <f t="shared" si="0"/>
        <v>MINI</v>
      </c>
      <c r="E9" s="74">
        <f t="shared" si="1"/>
        <v>5</v>
      </c>
      <c r="F9" s="74" t="str">
        <f t="shared" si="2"/>
        <v>Đà Lạt</v>
      </c>
      <c r="G9" s="74">
        <f t="shared" si="3"/>
        <v>3</v>
      </c>
      <c r="H9" s="74">
        <f t="shared" si="4"/>
        <v>15</v>
      </c>
      <c r="I9" s="74">
        <f t="shared" si="5"/>
        <v>5</v>
      </c>
      <c r="J9" s="74">
        <f t="shared" si="6"/>
        <v>35</v>
      </c>
      <c r="K9" s="69">
        <f t="shared" si="7"/>
        <v>633500</v>
      </c>
    </row>
    <row r="10" spans="2:11" x14ac:dyDescent="0.25">
      <c r="B10" s="2" t="s">
        <v>44</v>
      </c>
      <c r="C10" s="1" t="s">
        <v>57</v>
      </c>
      <c r="D10" s="74" t="str">
        <f t="shared" si="0"/>
        <v>MINI</v>
      </c>
      <c r="E10" s="74">
        <f t="shared" si="1"/>
        <v>5</v>
      </c>
      <c r="F10" s="74" t="str">
        <f t="shared" si="2"/>
        <v>Đà Lạt</v>
      </c>
      <c r="G10" s="74">
        <f t="shared" si="3"/>
        <v>3</v>
      </c>
      <c r="H10" s="74">
        <f t="shared" si="4"/>
        <v>15</v>
      </c>
      <c r="I10" s="74">
        <f t="shared" si="5"/>
        <v>5</v>
      </c>
      <c r="J10" s="74">
        <f t="shared" si="6"/>
        <v>35</v>
      </c>
      <c r="K10" s="69">
        <f t="shared" si="7"/>
        <v>633500</v>
      </c>
    </row>
    <row r="11" spans="2:11" x14ac:dyDescent="0.25">
      <c r="B11" s="2" t="s">
        <v>45</v>
      </c>
      <c r="C11" s="1" t="s">
        <v>58</v>
      </c>
      <c r="D11" s="74" t="str">
        <f t="shared" si="0"/>
        <v>2SAO</v>
      </c>
      <c r="E11" s="74">
        <f t="shared" si="1"/>
        <v>12</v>
      </c>
      <c r="F11" s="74" t="str">
        <f t="shared" si="2"/>
        <v>Đà Lạt</v>
      </c>
      <c r="G11" s="74">
        <f t="shared" si="3"/>
        <v>3</v>
      </c>
      <c r="H11" s="74">
        <f t="shared" si="4"/>
        <v>15</v>
      </c>
      <c r="I11" s="74">
        <f t="shared" si="5"/>
        <v>5</v>
      </c>
      <c r="J11" s="74">
        <f t="shared" si="6"/>
        <v>56</v>
      </c>
      <c r="K11" s="69">
        <f t="shared" si="7"/>
        <v>1013600</v>
      </c>
    </row>
    <row r="12" spans="2:11" x14ac:dyDescent="0.25">
      <c r="B12" s="2" t="s">
        <v>46</v>
      </c>
      <c r="C12" s="1" t="s">
        <v>59</v>
      </c>
      <c r="D12" s="74" t="str">
        <f t="shared" si="0"/>
        <v>2SAO</v>
      </c>
      <c r="E12" s="74">
        <f t="shared" si="1"/>
        <v>12</v>
      </c>
      <c r="F12" s="74" t="str">
        <f t="shared" si="2"/>
        <v>Đà Lạt</v>
      </c>
      <c r="G12" s="74">
        <f t="shared" si="3"/>
        <v>3</v>
      </c>
      <c r="H12" s="74">
        <f t="shared" si="4"/>
        <v>15</v>
      </c>
      <c r="I12" s="74">
        <f t="shared" si="5"/>
        <v>5</v>
      </c>
      <c r="J12" s="74">
        <f t="shared" si="6"/>
        <v>56</v>
      </c>
      <c r="K12" s="69">
        <f t="shared" si="7"/>
        <v>1013600</v>
      </c>
    </row>
    <row r="13" spans="2:11" x14ac:dyDescent="0.25">
      <c r="B13" s="2" t="s">
        <v>47</v>
      </c>
      <c r="C13" s="1" t="s">
        <v>60</v>
      </c>
      <c r="D13" s="74" t="str">
        <f t="shared" si="0"/>
        <v>3SAO</v>
      </c>
      <c r="E13" s="74">
        <f t="shared" si="1"/>
        <v>17</v>
      </c>
      <c r="F13" s="74" t="str">
        <f t="shared" si="2"/>
        <v>Đà Lạt</v>
      </c>
      <c r="G13" s="74">
        <f t="shared" si="3"/>
        <v>3</v>
      </c>
      <c r="H13" s="74">
        <f t="shared" si="4"/>
        <v>15</v>
      </c>
      <c r="I13" s="74">
        <f t="shared" si="5"/>
        <v>5</v>
      </c>
      <c r="J13" s="74">
        <f t="shared" si="6"/>
        <v>71</v>
      </c>
      <c r="K13" s="69">
        <f t="shared" si="7"/>
        <v>1285100</v>
      </c>
    </row>
    <row r="14" spans="2:11" x14ac:dyDescent="0.25">
      <c r="B14" s="2" t="s">
        <v>48</v>
      </c>
      <c r="C14" s="1" t="s">
        <v>61</v>
      </c>
      <c r="D14" s="74" t="str">
        <f t="shared" si="0"/>
        <v>1SAO</v>
      </c>
      <c r="E14" s="74">
        <f t="shared" si="1"/>
        <v>8</v>
      </c>
      <c r="F14" s="74" t="str">
        <f t="shared" si="2"/>
        <v>Huế</v>
      </c>
      <c r="G14" s="74">
        <f t="shared" si="3"/>
        <v>6</v>
      </c>
      <c r="H14" s="74">
        <f t="shared" si="4"/>
        <v>27</v>
      </c>
      <c r="I14" s="74">
        <f t="shared" si="5"/>
        <v>10</v>
      </c>
      <c r="J14" s="74">
        <f t="shared" si="6"/>
        <v>85</v>
      </c>
      <c r="K14" s="69">
        <f t="shared" si="7"/>
        <v>1538500</v>
      </c>
    </row>
    <row r="15" spans="2:11" x14ac:dyDescent="0.25">
      <c r="B15" s="2" t="s">
        <v>49</v>
      </c>
      <c r="C15" s="1" t="s">
        <v>62</v>
      </c>
      <c r="D15" s="74" t="str">
        <f t="shared" si="0"/>
        <v>3SAO</v>
      </c>
      <c r="E15" s="74">
        <f t="shared" si="1"/>
        <v>17</v>
      </c>
      <c r="F15" s="74" t="str">
        <f t="shared" si="2"/>
        <v>Huế</v>
      </c>
      <c r="G15" s="74">
        <f t="shared" si="3"/>
        <v>6</v>
      </c>
      <c r="H15" s="74">
        <f t="shared" si="4"/>
        <v>27</v>
      </c>
      <c r="I15" s="74">
        <f t="shared" si="5"/>
        <v>10</v>
      </c>
      <c r="J15" s="74">
        <f t="shared" si="6"/>
        <v>139</v>
      </c>
      <c r="K15" s="69">
        <f t="shared" si="7"/>
        <v>2515900</v>
      </c>
    </row>
    <row r="16" spans="2:11" x14ac:dyDescent="0.25">
      <c r="B16" s="2" t="s">
        <v>50</v>
      </c>
      <c r="C16" s="1" t="s">
        <v>63</v>
      </c>
      <c r="D16" s="74" t="str">
        <f t="shared" si="0"/>
        <v>3SAO</v>
      </c>
      <c r="E16" s="74">
        <f t="shared" si="1"/>
        <v>17</v>
      </c>
      <c r="F16" s="74" t="str">
        <f t="shared" si="2"/>
        <v>Huế</v>
      </c>
      <c r="G16" s="74">
        <f t="shared" si="3"/>
        <v>6</v>
      </c>
      <c r="H16" s="74">
        <f t="shared" si="4"/>
        <v>27</v>
      </c>
      <c r="I16" s="74">
        <f t="shared" si="5"/>
        <v>10</v>
      </c>
      <c r="J16" s="74">
        <f t="shared" si="6"/>
        <v>139</v>
      </c>
      <c r="K16" s="69">
        <f t="shared" si="7"/>
        <v>2515900</v>
      </c>
    </row>
    <row r="17" spans="2:11" ht="15.75" thickBot="1" x14ac:dyDescent="0.3">
      <c r="B17" s="4" t="s">
        <v>51</v>
      </c>
      <c r="C17" s="5" t="s">
        <v>64</v>
      </c>
      <c r="D17" s="75" t="str">
        <f t="shared" si="0"/>
        <v>2SAO</v>
      </c>
      <c r="E17" s="75">
        <f t="shared" si="1"/>
        <v>12</v>
      </c>
      <c r="F17" s="75" t="str">
        <f t="shared" si="2"/>
        <v>Huế</v>
      </c>
      <c r="G17" s="75">
        <f t="shared" si="3"/>
        <v>6</v>
      </c>
      <c r="H17" s="75">
        <f t="shared" si="4"/>
        <v>27</v>
      </c>
      <c r="I17" s="75">
        <f t="shared" si="5"/>
        <v>10</v>
      </c>
      <c r="J17" s="75">
        <f t="shared" si="6"/>
        <v>109</v>
      </c>
      <c r="K17" s="72">
        <f t="shared" si="7"/>
        <v>1972900</v>
      </c>
    </row>
    <row r="19" spans="2:11" ht="15.75" thickBot="1" x14ac:dyDescent="0.3">
      <c r="B19" t="s">
        <v>21</v>
      </c>
      <c r="E19" t="s">
        <v>25</v>
      </c>
    </row>
    <row r="20" spans="2:11" ht="30.75" thickBot="1" x14ac:dyDescent="0.3">
      <c r="B20" s="35" t="s">
        <v>30</v>
      </c>
      <c r="C20" s="36" t="s">
        <v>31</v>
      </c>
      <c r="E20" s="32" t="s">
        <v>69</v>
      </c>
      <c r="F20" s="33" t="s">
        <v>32</v>
      </c>
      <c r="G20" s="33" t="s">
        <v>33</v>
      </c>
      <c r="H20" s="34" t="s">
        <v>70</v>
      </c>
    </row>
    <row r="21" spans="2:11" x14ac:dyDescent="0.25">
      <c r="B21" s="7" t="s">
        <v>65</v>
      </c>
      <c r="C21" s="9">
        <v>5</v>
      </c>
      <c r="E21" s="29" t="s">
        <v>71</v>
      </c>
      <c r="F21" s="30" t="s">
        <v>74</v>
      </c>
      <c r="G21" s="30">
        <v>3</v>
      </c>
      <c r="H21" s="31">
        <v>15</v>
      </c>
    </row>
    <row r="22" spans="2:11" x14ac:dyDescent="0.25">
      <c r="B22" s="2" t="s">
        <v>66</v>
      </c>
      <c r="C22" s="3">
        <v>8</v>
      </c>
      <c r="E22" s="24" t="s">
        <v>72</v>
      </c>
      <c r="F22" s="23" t="s">
        <v>75</v>
      </c>
      <c r="G22" s="23">
        <v>4</v>
      </c>
      <c r="H22" s="25">
        <v>22</v>
      </c>
    </row>
    <row r="23" spans="2:11" ht="15.75" thickBot="1" x14ac:dyDescent="0.3">
      <c r="B23" s="2" t="s">
        <v>67</v>
      </c>
      <c r="C23" s="3">
        <v>12</v>
      </c>
      <c r="E23" s="26" t="s">
        <v>73</v>
      </c>
      <c r="F23" s="27" t="s">
        <v>76</v>
      </c>
      <c r="G23" s="27">
        <v>6</v>
      </c>
      <c r="H23" s="28">
        <v>27</v>
      </c>
    </row>
    <row r="24" spans="2:11" ht="15.75" thickBot="1" x14ac:dyDescent="0.3">
      <c r="B24" s="4" t="s">
        <v>68</v>
      </c>
      <c r="C24" s="6">
        <v>17</v>
      </c>
    </row>
  </sheetData>
  <mergeCells count="1">
    <mergeCell ref="B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workbookViewId="0">
      <selection activeCell="J4" sqref="J4"/>
    </sheetView>
  </sheetViews>
  <sheetFormatPr defaultRowHeight="15" x14ac:dyDescent="0.25"/>
  <cols>
    <col min="1" max="1" width="3.7109375" customWidth="1"/>
    <col min="2" max="2" width="7.85546875" customWidth="1"/>
    <col min="3" max="3" width="13.5703125" customWidth="1"/>
    <col min="5" max="5" width="14.85546875" customWidth="1"/>
    <col min="6" max="6" width="11.140625" customWidth="1"/>
    <col min="8" max="8" width="12.5703125" bestFit="1" customWidth="1"/>
    <col min="9" max="9" width="10" bestFit="1" customWidth="1"/>
    <col min="10" max="10" width="11" bestFit="1" customWidth="1"/>
    <col min="11" max="11" width="13.28515625" bestFit="1" customWidth="1"/>
  </cols>
  <sheetData>
    <row r="2" spans="2:11" ht="21.75" thickBot="1" x14ac:dyDescent="0.4">
      <c r="B2" s="161" t="s">
        <v>78</v>
      </c>
      <c r="C2" s="161"/>
      <c r="D2" s="161"/>
      <c r="E2" s="161"/>
      <c r="F2" s="161"/>
      <c r="G2" s="161"/>
      <c r="H2" s="161"/>
      <c r="I2" s="161"/>
      <c r="J2" s="161"/>
      <c r="K2" s="161"/>
    </row>
    <row r="3" spans="2:11" ht="30" x14ac:dyDescent="0.25">
      <c r="B3" s="42" t="s">
        <v>79</v>
      </c>
      <c r="C3" s="43" t="s">
        <v>80</v>
      </c>
      <c r="D3" s="43" t="s">
        <v>81</v>
      </c>
      <c r="E3" s="43" t="s">
        <v>82</v>
      </c>
      <c r="F3" s="43" t="s">
        <v>83</v>
      </c>
      <c r="G3" s="43" t="s">
        <v>84</v>
      </c>
      <c r="H3" s="43" t="s">
        <v>85</v>
      </c>
      <c r="I3" s="43" t="s">
        <v>86</v>
      </c>
      <c r="J3" s="43" t="s">
        <v>87</v>
      </c>
      <c r="K3" s="44" t="s">
        <v>113</v>
      </c>
    </row>
    <row r="4" spans="2:11" x14ac:dyDescent="0.25">
      <c r="B4" s="40" t="s">
        <v>88</v>
      </c>
      <c r="C4" s="45" t="s">
        <v>95</v>
      </c>
      <c r="D4" s="76" t="str">
        <f>MID(B4,3,1)</f>
        <v>G</v>
      </c>
      <c r="E4" s="76" t="str">
        <f>VLOOKUP(D4,$B$14:$D$16,2,FALSE)</f>
        <v>Giáo khoa</v>
      </c>
      <c r="F4" s="47">
        <v>1500</v>
      </c>
      <c r="G4" s="78">
        <f>VLOOKUP(D4,$B$14:$D$16,3,FALSE)</f>
        <v>2800</v>
      </c>
      <c r="H4" s="78">
        <f>F4*G4</f>
        <v>4200000</v>
      </c>
      <c r="I4" s="78">
        <f>HLOOKUP(F4,$G$13:$I$14,2,TRUE)</f>
        <v>15000</v>
      </c>
      <c r="J4" s="78">
        <f>IF(LEFT(B4)="A",0.08,IF(LEFT(B4)="B",0.05,0))*H4</f>
        <v>336000</v>
      </c>
      <c r="K4" s="69">
        <f>H4-J4+I4</f>
        <v>3879000</v>
      </c>
    </row>
    <row r="5" spans="2:11" x14ac:dyDescent="0.25">
      <c r="B5" s="40" t="s">
        <v>89</v>
      </c>
      <c r="C5" s="45" t="s">
        <v>96</v>
      </c>
      <c r="D5" s="76" t="str">
        <f t="shared" ref="D5:D10" si="0">MID(B5,3,1)</f>
        <v>G</v>
      </c>
      <c r="E5" s="76" t="str">
        <f t="shared" ref="E5:E10" si="1">VLOOKUP(D5,$B$14:$D$16,2,FALSE)</f>
        <v>Giáo khoa</v>
      </c>
      <c r="F5" s="47">
        <v>2100</v>
      </c>
      <c r="G5" s="78">
        <f t="shared" ref="G5:G10" si="2">VLOOKUP(D5,$B$14:$D$16,3,FALSE)</f>
        <v>2800</v>
      </c>
      <c r="H5" s="78">
        <f t="shared" ref="H5:H10" si="3">F5*G5</f>
        <v>5880000</v>
      </c>
      <c r="I5" s="78">
        <f t="shared" ref="I5:I10" si="4">HLOOKUP(F5,$G$13:$I$14,2,TRUE)</f>
        <v>15000</v>
      </c>
      <c r="J5" s="78">
        <f t="shared" ref="J5:J10" si="5">IF(LEFT(B5)="A",0.08,IF(LEFT(B5)="B",0.05,0))*H5</f>
        <v>470400</v>
      </c>
      <c r="K5" s="69">
        <f t="shared" ref="K5:K10" si="6">H5-J5+I5</f>
        <v>5424600</v>
      </c>
    </row>
    <row r="6" spans="2:11" x14ac:dyDescent="0.25">
      <c r="B6" s="40" t="s">
        <v>90</v>
      </c>
      <c r="C6" s="45" t="s">
        <v>97</v>
      </c>
      <c r="D6" s="76" t="str">
        <f t="shared" si="0"/>
        <v>T</v>
      </c>
      <c r="E6" s="76" t="str">
        <f t="shared" si="1"/>
        <v>Truyện</v>
      </c>
      <c r="F6" s="47">
        <v>700</v>
      </c>
      <c r="G6" s="78">
        <f t="shared" si="2"/>
        <v>3500</v>
      </c>
      <c r="H6" s="78">
        <f t="shared" si="3"/>
        <v>2450000</v>
      </c>
      <c r="I6" s="78">
        <f t="shared" si="4"/>
        <v>50000</v>
      </c>
      <c r="J6" s="78">
        <f t="shared" si="5"/>
        <v>0</v>
      </c>
      <c r="K6" s="69">
        <f t="shared" si="6"/>
        <v>2500000</v>
      </c>
    </row>
    <row r="7" spans="2:11" x14ac:dyDescent="0.25">
      <c r="B7" s="40" t="s">
        <v>91</v>
      </c>
      <c r="C7" s="45" t="s">
        <v>98</v>
      </c>
      <c r="D7" s="76" t="str">
        <f t="shared" si="0"/>
        <v>K</v>
      </c>
      <c r="E7" s="76" t="str">
        <f t="shared" si="1"/>
        <v>Tham khảo</v>
      </c>
      <c r="F7" s="47">
        <v>600</v>
      </c>
      <c r="G7" s="78">
        <f t="shared" si="2"/>
        <v>3000</v>
      </c>
      <c r="H7" s="78">
        <f t="shared" si="3"/>
        <v>1800000</v>
      </c>
      <c r="I7" s="78">
        <f t="shared" si="4"/>
        <v>50000</v>
      </c>
      <c r="J7" s="78">
        <f t="shared" si="5"/>
        <v>90000</v>
      </c>
      <c r="K7" s="69">
        <f t="shared" si="6"/>
        <v>1760000</v>
      </c>
    </row>
    <row r="8" spans="2:11" x14ac:dyDescent="0.25">
      <c r="B8" s="40" t="s">
        <v>92</v>
      </c>
      <c r="C8" s="45" t="s">
        <v>99</v>
      </c>
      <c r="D8" s="76" t="str">
        <f t="shared" si="0"/>
        <v>G</v>
      </c>
      <c r="E8" s="76" t="str">
        <f t="shared" si="1"/>
        <v>Giáo khoa</v>
      </c>
      <c r="F8" s="47">
        <v>2000</v>
      </c>
      <c r="G8" s="78">
        <f t="shared" si="2"/>
        <v>2800</v>
      </c>
      <c r="H8" s="78">
        <f t="shared" si="3"/>
        <v>5600000</v>
      </c>
      <c r="I8" s="78">
        <f t="shared" si="4"/>
        <v>15000</v>
      </c>
      <c r="J8" s="78">
        <f t="shared" si="5"/>
        <v>448000</v>
      </c>
      <c r="K8" s="69">
        <f t="shared" si="6"/>
        <v>5167000</v>
      </c>
    </row>
    <row r="9" spans="2:11" x14ac:dyDescent="0.25">
      <c r="B9" s="40" t="s">
        <v>93</v>
      </c>
      <c r="C9" s="45" t="s">
        <v>100</v>
      </c>
      <c r="D9" s="76" t="str">
        <f t="shared" si="0"/>
        <v>K</v>
      </c>
      <c r="E9" s="76" t="str">
        <f t="shared" si="1"/>
        <v>Tham khảo</v>
      </c>
      <c r="F9" s="47">
        <v>450</v>
      </c>
      <c r="G9" s="78">
        <f t="shared" si="2"/>
        <v>3000</v>
      </c>
      <c r="H9" s="78">
        <f t="shared" si="3"/>
        <v>1350000</v>
      </c>
      <c r="I9" s="78">
        <f t="shared" si="4"/>
        <v>50000</v>
      </c>
      <c r="J9" s="78">
        <f t="shared" si="5"/>
        <v>0</v>
      </c>
      <c r="K9" s="69">
        <f t="shared" si="6"/>
        <v>1400000</v>
      </c>
    </row>
    <row r="10" spans="2:11" ht="15.75" thickBot="1" x14ac:dyDescent="0.3">
      <c r="B10" s="41" t="s">
        <v>94</v>
      </c>
      <c r="C10" s="46" t="s">
        <v>101</v>
      </c>
      <c r="D10" s="77" t="str">
        <f t="shared" si="0"/>
        <v>T</v>
      </c>
      <c r="E10" s="77" t="str">
        <f t="shared" si="1"/>
        <v>Truyện</v>
      </c>
      <c r="F10" s="48">
        <v>1500</v>
      </c>
      <c r="G10" s="79">
        <f t="shared" si="2"/>
        <v>3500</v>
      </c>
      <c r="H10" s="79">
        <f t="shared" si="3"/>
        <v>5250000</v>
      </c>
      <c r="I10" s="79">
        <f t="shared" si="4"/>
        <v>15000</v>
      </c>
      <c r="J10" s="79">
        <f t="shared" si="5"/>
        <v>0</v>
      </c>
      <c r="K10" s="72">
        <f t="shared" si="6"/>
        <v>5265000</v>
      </c>
    </row>
    <row r="12" spans="2:11" ht="15.75" thickBot="1" x14ac:dyDescent="0.3">
      <c r="B12" s="159" t="s">
        <v>102</v>
      </c>
      <c r="C12" s="159"/>
      <c r="D12" s="159"/>
      <c r="F12" s="160" t="s">
        <v>110</v>
      </c>
      <c r="G12" s="160"/>
      <c r="H12" s="160"/>
      <c r="I12" s="160"/>
    </row>
    <row r="13" spans="2:11" ht="30" x14ac:dyDescent="0.25">
      <c r="B13" s="42" t="s">
        <v>81</v>
      </c>
      <c r="C13" s="43" t="s">
        <v>82</v>
      </c>
      <c r="D13" s="44" t="s">
        <v>103</v>
      </c>
      <c r="F13" s="55" t="s">
        <v>111</v>
      </c>
      <c r="G13" s="58">
        <v>0</v>
      </c>
      <c r="H13" s="59">
        <v>1000</v>
      </c>
      <c r="I13" s="60">
        <v>1500</v>
      </c>
    </row>
    <row r="14" spans="2:11" ht="15.75" thickBot="1" x14ac:dyDescent="0.3">
      <c r="B14" s="50" t="s">
        <v>104</v>
      </c>
      <c r="C14" s="49" t="s">
        <v>107</v>
      </c>
      <c r="D14" s="51">
        <v>2800</v>
      </c>
      <c r="F14" s="56" t="s">
        <v>112</v>
      </c>
      <c r="G14" s="61">
        <v>50000</v>
      </c>
      <c r="H14" s="62">
        <v>30000</v>
      </c>
      <c r="I14" s="63">
        <v>15000</v>
      </c>
    </row>
    <row r="15" spans="2:11" x14ac:dyDescent="0.25">
      <c r="B15" s="50" t="s">
        <v>105</v>
      </c>
      <c r="C15" s="49" t="s">
        <v>108</v>
      </c>
      <c r="D15" s="51">
        <v>3500</v>
      </c>
    </row>
    <row r="16" spans="2:11" ht="15.75" thickBot="1" x14ac:dyDescent="0.3">
      <c r="B16" s="52" t="s">
        <v>106</v>
      </c>
      <c r="C16" s="53" t="s">
        <v>109</v>
      </c>
      <c r="D16" s="6">
        <v>3000</v>
      </c>
    </row>
  </sheetData>
  <mergeCells count="3">
    <mergeCell ref="B12:D12"/>
    <mergeCell ref="F12:I12"/>
    <mergeCell ref="B2:K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5"/>
  <sheetViews>
    <sheetView tabSelected="1" topLeftCell="A2" workbookViewId="0">
      <selection activeCell="F4" sqref="F4"/>
    </sheetView>
  </sheetViews>
  <sheetFormatPr defaultRowHeight="15" x14ac:dyDescent="0.25"/>
  <cols>
    <col min="2" max="2" width="10.42578125" customWidth="1"/>
    <col min="3" max="3" width="11.42578125" customWidth="1"/>
    <col min="4" max="4" width="10.42578125" customWidth="1"/>
    <col min="8" max="8" width="11.5703125" bestFit="1" customWidth="1"/>
    <col min="9" max="9" width="14.28515625" bestFit="1" customWidth="1"/>
    <col min="10" max="10" width="10.85546875" customWidth="1"/>
    <col min="11" max="11" width="12.140625" customWidth="1"/>
  </cols>
  <sheetData>
    <row r="2" spans="2:11" ht="21.75" thickBot="1" x14ac:dyDescent="0.3">
      <c r="B2" s="162" t="s">
        <v>114</v>
      </c>
      <c r="C2" s="162"/>
      <c r="D2" s="162"/>
      <c r="E2" s="162"/>
      <c r="F2" s="162"/>
      <c r="G2" s="162"/>
      <c r="H2" s="162"/>
      <c r="I2" s="162"/>
      <c r="J2" s="162"/>
      <c r="K2" s="162"/>
    </row>
    <row r="3" spans="2:11" ht="30.75" thickBot="1" x14ac:dyDescent="0.3">
      <c r="B3" s="32" t="s">
        <v>115</v>
      </c>
      <c r="C3" s="33" t="s">
        <v>116</v>
      </c>
      <c r="D3" s="33" t="s">
        <v>117</v>
      </c>
      <c r="E3" s="33" t="s">
        <v>118</v>
      </c>
      <c r="F3" s="33" t="s">
        <v>119</v>
      </c>
      <c r="G3" s="33" t="s">
        <v>120</v>
      </c>
      <c r="H3" s="33" t="s">
        <v>84</v>
      </c>
      <c r="I3" s="33" t="s">
        <v>85</v>
      </c>
      <c r="J3" s="33" t="s">
        <v>121</v>
      </c>
      <c r="K3" s="34" t="s">
        <v>113</v>
      </c>
    </row>
    <row r="4" spans="2:11" x14ac:dyDescent="0.25">
      <c r="B4" s="88">
        <v>1</v>
      </c>
      <c r="C4" s="19" t="s">
        <v>138</v>
      </c>
      <c r="D4" s="19" t="str">
        <f>LEFT(C4,2)</f>
        <v>SB</v>
      </c>
      <c r="E4" s="8" t="str">
        <f>VLOOKUP(D4,$B$21:$D$25,2,FALSE)</f>
        <v>Sữa bột</v>
      </c>
      <c r="F4" s="19" t="str">
        <f>MID(C4,3,1)</f>
        <v>2</v>
      </c>
      <c r="G4" s="8">
        <v>50</v>
      </c>
      <c r="H4" s="21">
        <f>VLOOKUP(D4,$B$21:$D$25,3,FALSE)</f>
        <v>25000</v>
      </c>
      <c r="I4" s="89">
        <f t="shared" ref="I4:I13" si="0">G4*H4</f>
        <v>1250000</v>
      </c>
      <c r="J4" s="21">
        <f>IF(D4="TL",0.2,IF(D4="RU",0.1,0))*I4</f>
        <v>0</v>
      </c>
      <c r="K4" s="90">
        <f>I4+J4</f>
        <v>1250000</v>
      </c>
    </row>
    <row r="5" spans="2:11" x14ac:dyDescent="0.25">
      <c r="B5" s="80">
        <v>2</v>
      </c>
      <c r="C5" s="20" t="s">
        <v>139</v>
      </c>
      <c r="D5" s="20" t="str">
        <f t="shared" ref="D5:D13" si="1">LEFT(C5,2)</f>
        <v>TL</v>
      </c>
      <c r="E5" s="1" t="str">
        <f t="shared" ref="E5:E13" si="2">VLOOKUP(D5,$B$21:$D$25,2,FALSE)</f>
        <v>Thuốc lá</v>
      </c>
      <c r="F5" s="20" t="str">
        <f t="shared" ref="F5:F13" si="3">MID(C5,3,1)</f>
        <v>4</v>
      </c>
      <c r="G5" s="1">
        <v>100</v>
      </c>
      <c r="H5" s="22">
        <f t="shared" ref="H5:H13" si="4">VLOOKUP(D5,$B$21:$D$25,3,FALSE)</f>
        <v>10000</v>
      </c>
      <c r="I5" s="87">
        <f t="shared" si="0"/>
        <v>1000000</v>
      </c>
      <c r="J5" s="22">
        <f t="shared" ref="J5:J13" si="5">IF(D5="TL",0.2,IF(D5="RU",0.1,0))*I5</f>
        <v>200000</v>
      </c>
      <c r="K5" s="57">
        <f t="shared" ref="K5:K13" si="6">I5+J5</f>
        <v>1200000</v>
      </c>
    </row>
    <row r="6" spans="2:11" x14ac:dyDescent="0.25">
      <c r="B6" s="80">
        <v>3</v>
      </c>
      <c r="C6" s="20" t="s">
        <v>140</v>
      </c>
      <c r="D6" s="20" t="str">
        <f t="shared" si="1"/>
        <v>SB</v>
      </c>
      <c r="E6" s="1" t="str">
        <f t="shared" si="2"/>
        <v>Sữa bột</v>
      </c>
      <c r="F6" s="20" t="str">
        <f t="shared" si="3"/>
        <v>4</v>
      </c>
      <c r="G6" s="1">
        <v>125</v>
      </c>
      <c r="H6" s="22">
        <f t="shared" si="4"/>
        <v>25000</v>
      </c>
      <c r="I6" s="87">
        <f t="shared" si="0"/>
        <v>3125000</v>
      </c>
      <c r="J6" s="22">
        <f t="shared" si="5"/>
        <v>0</v>
      </c>
      <c r="K6" s="57">
        <f t="shared" si="6"/>
        <v>3125000</v>
      </c>
    </row>
    <row r="7" spans="2:11" x14ac:dyDescent="0.25">
      <c r="B7" s="80">
        <v>4</v>
      </c>
      <c r="C7" s="20" t="s">
        <v>141</v>
      </c>
      <c r="D7" s="20" t="str">
        <f t="shared" si="1"/>
        <v>DG</v>
      </c>
      <c r="E7" s="1" t="str">
        <f t="shared" si="2"/>
        <v>Đường</v>
      </c>
      <c r="F7" s="20" t="str">
        <f t="shared" si="3"/>
        <v>1</v>
      </c>
      <c r="G7" s="1">
        <v>47</v>
      </c>
      <c r="H7" s="22">
        <f t="shared" si="4"/>
        <v>5000</v>
      </c>
      <c r="I7" s="87">
        <f t="shared" si="0"/>
        <v>235000</v>
      </c>
      <c r="J7" s="22">
        <f t="shared" si="5"/>
        <v>0</v>
      </c>
      <c r="K7" s="57">
        <f t="shared" si="6"/>
        <v>235000</v>
      </c>
    </row>
    <row r="8" spans="2:11" x14ac:dyDescent="0.25">
      <c r="B8" s="80">
        <v>5</v>
      </c>
      <c r="C8" s="20" t="s">
        <v>142</v>
      </c>
      <c r="D8" s="20" t="str">
        <f t="shared" si="1"/>
        <v>DG</v>
      </c>
      <c r="E8" s="1" t="str">
        <f t="shared" si="2"/>
        <v>Đường</v>
      </c>
      <c r="F8" s="20" t="str">
        <f t="shared" si="3"/>
        <v>2</v>
      </c>
      <c r="G8" s="1">
        <v>80</v>
      </c>
      <c r="H8" s="22">
        <f t="shared" si="4"/>
        <v>5000</v>
      </c>
      <c r="I8" s="87">
        <f t="shared" si="0"/>
        <v>400000</v>
      </c>
      <c r="J8" s="22">
        <f t="shared" si="5"/>
        <v>0</v>
      </c>
      <c r="K8" s="57">
        <f t="shared" si="6"/>
        <v>400000</v>
      </c>
    </row>
    <row r="9" spans="2:11" x14ac:dyDescent="0.25">
      <c r="B9" s="80">
        <v>6</v>
      </c>
      <c r="C9" s="20" t="s">
        <v>146</v>
      </c>
      <c r="D9" s="20" t="str">
        <f t="shared" si="1"/>
        <v>RU</v>
      </c>
      <c r="E9" s="1" t="str">
        <f t="shared" si="2"/>
        <v>Rượu</v>
      </c>
      <c r="F9" s="20" t="str">
        <f t="shared" si="3"/>
        <v>1</v>
      </c>
      <c r="G9" s="1">
        <v>90</v>
      </c>
      <c r="H9" s="22">
        <f t="shared" si="4"/>
        <v>150000</v>
      </c>
      <c r="I9" s="87">
        <f t="shared" si="0"/>
        <v>13500000</v>
      </c>
      <c r="J9" s="22">
        <f t="shared" si="5"/>
        <v>1350000</v>
      </c>
      <c r="K9" s="57">
        <f t="shared" si="6"/>
        <v>14850000</v>
      </c>
    </row>
    <row r="10" spans="2:11" x14ac:dyDescent="0.25">
      <c r="B10" s="80">
        <v>7</v>
      </c>
      <c r="C10" s="20" t="s">
        <v>143</v>
      </c>
      <c r="D10" s="20" t="str">
        <f t="shared" si="1"/>
        <v>BN</v>
      </c>
      <c r="E10" s="1" t="str">
        <f t="shared" si="2"/>
        <v>Bột ngọt</v>
      </c>
      <c r="F10" s="20" t="str">
        <f t="shared" si="3"/>
        <v>5</v>
      </c>
      <c r="G10" s="1">
        <v>120</v>
      </c>
      <c r="H10" s="22">
        <f t="shared" si="4"/>
        <v>20000</v>
      </c>
      <c r="I10" s="87">
        <f t="shared" si="0"/>
        <v>2400000</v>
      </c>
      <c r="J10" s="22">
        <f t="shared" si="5"/>
        <v>0</v>
      </c>
      <c r="K10" s="57">
        <f t="shared" si="6"/>
        <v>2400000</v>
      </c>
    </row>
    <row r="11" spans="2:11" x14ac:dyDescent="0.25">
      <c r="B11" s="80">
        <v>8</v>
      </c>
      <c r="C11" s="20" t="s">
        <v>144</v>
      </c>
      <c r="D11" s="20" t="str">
        <f t="shared" si="1"/>
        <v>SB</v>
      </c>
      <c r="E11" s="1" t="str">
        <f t="shared" si="2"/>
        <v>Sữa bột</v>
      </c>
      <c r="F11" s="20" t="str">
        <f t="shared" si="3"/>
        <v>3</v>
      </c>
      <c r="G11" s="1">
        <v>48</v>
      </c>
      <c r="H11" s="22">
        <f t="shared" si="4"/>
        <v>25000</v>
      </c>
      <c r="I11" s="87">
        <f t="shared" si="0"/>
        <v>1200000</v>
      </c>
      <c r="J11" s="22">
        <f t="shared" si="5"/>
        <v>0</v>
      </c>
      <c r="K11" s="57">
        <f t="shared" si="6"/>
        <v>1200000</v>
      </c>
    </row>
    <row r="12" spans="2:11" x14ac:dyDescent="0.25">
      <c r="B12" s="80">
        <v>9</v>
      </c>
      <c r="C12" s="20" t="s">
        <v>145</v>
      </c>
      <c r="D12" s="20" t="str">
        <f t="shared" si="1"/>
        <v>RU</v>
      </c>
      <c r="E12" s="1" t="str">
        <f t="shared" si="2"/>
        <v>Rượu</v>
      </c>
      <c r="F12" s="20" t="str">
        <f t="shared" si="3"/>
        <v>2</v>
      </c>
      <c r="G12" s="1">
        <v>50</v>
      </c>
      <c r="H12" s="22">
        <f t="shared" si="4"/>
        <v>150000</v>
      </c>
      <c r="I12" s="87">
        <f t="shared" si="0"/>
        <v>7500000</v>
      </c>
      <c r="J12" s="22">
        <f t="shared" si="5"/>
        <v>750000</v>
      </c>
      <c r="K12" s="57">
        <f t="shared" si="6"/>
        <v>8250000</v>
      </c>
    </row>
    <row r="13" spans="2:11" x14ac:dyDescent="0.25">
      <c r="B13" s="80">
        <v>10</v>
      </c>
      <c r="C13" s="20" t="s">
        <v>147</v>
      </c>
      <c r="D13" s="20" t="str">
        <f t="shared" si="1"/>
        <v>SB</v>
      </c>
      <c r="E13" s="1" t="str">
        <f t="shared" si="2"/>
        <v>Sữa bột</v>
      </c>
      <c r="F13" s="20" t="str">
        <f t="shared" si="3"/>
        <v>5</v>
      </c>
      <c r="G13" s="1">
        <v>60</v>
      </c>
      <c r="H13" s="22">
        <f t="shared" si="4"/>
        <v>25000</v>
      </c>
      <c r="I13" s="87">
        <f t="shared" si="0"/>
        <v>1500000</v>
      </c>
      <c r="J13" s="22">
        <f t="shared" si="5"/>
        <v>0</v>
      </c>
      <c r="K13" s="57">
        <f t="shared" si="6"/>
        <v>1500000</v>
      </c>
    </row>
    <row r="14" spans="2:11" x14ac:dyDescent="0.25">
      <c r="B14" s="166" t="s">
        <v>122</v>
      </c>
      <c r="C14" s="167"/>
      <c r="D14" s="167"/>
      <c r="E14" s="167"/>
      <c r="F14" s="167"/>
      <c r="G14" s="91">
        <f>SUM(G4:G13)</f>
        <v>770</v>
      </c>
      <c r="H14" s="92">
        <f t="shared" ref="H14:K14" si="7">SUM(H4:H13)</f>
        <v>440000</v>
      </c>
      <c r="I14" s="92">
        <f t="shared" si="7"/>
        <v>32110000</v>
      </c>
      <c r="J14" s="92">
        <f t="shared" si="7"/>
        <v>2300000</v>
      </c>
      <c r="K14" s="93">
        <f t="shared" si="7"/>
        <v>34410000</v>
      </c>
    </row>
    <row r="15" spans="2:11" x14ac:dyDescent="0.25">
      <c r="B15" s="166" t="s">
        <v>123</v>
      </c>
      <c r="C15" s="167"/>
      <c r="D15" s="167"/>
      <c r="E15" s="167"/>
      <c r="F15" s="167"/>
      <c r="G15" s="91">
        <f>AVERAGE(G4:G13)</f>
        <v>77</v>
      </c>
      <c r="H15" s="92">
        <f t="shared" ref="H15:K15" si="8">AVERAGE(H4:H13)</f>
        <v>44000</v>
      </c>
      <c r="I15" s="92">
        <f t="shared" si="8"/>
        <v>3211000</v>
      </c>
      <c r="J15" s="92">
        <f t="shared" si="8"/>
        <v>230000</v>
      </c>
      <c r="K15" s="93">
        <f t="shared" si="8"/>
        <v>3441000</v>
      </c>
    </row>
    <row r="16" spans="2:11" x14ac:dyDescent="0.25">
      <c r="B16" s="166" t="s">
        <v>124</v>
      </c>
      <c r="C16" s="167"/>
      <c r="D16" s="167"/>
      <c r="E16" s="167"/>
      <c r="F16" s="167"/>
      <c r="G16" s="91">
        <f>MIN(G4:G13)</f>
        <v>47</v>
      </c>
      <c r="H16" s="92">
        <f t="shared" ref="H16:K16" si="9">MIN(H4:H13)</f>
        <v>5000</v>
      </c>
      <c r="I16" s="92">
        <f t="shared" si="9"/>
        <v>235000</v>
      </c>
      <c r="J16" s="92">
        <f t="shared" si="9"/>
        <v>0</v>
      </c>
      <c r="K16" s="93">
        <f t="shared" si="9"/>
        <v>235000</v>
      </c>
    </row>
    <row r="17" spans="2:11" ht="15.75" thickBot="1" x14ac:dyDescent="0.3">
      <c r="B17" s="168" t="s">
        <v>125</v>
      </c>
      <c r="C17" s="169"/>
      <c r="D17" s="169"/>
      <c r="E17" s="169"/>
      <c r="F17" s="169"/>
      <c r="G17" s="94">
        <f>MAX(G4:G13)</f>
        <v>125</v>
      </c>
      <c r="H17" s="95">
        <f t="shared" ref="H17:K17" si="10">MAX(H4:H13)</f>
        <v>150000</v>
      </c>
      <c r="I17" s="95">
        <f t="shared" si="10"/>
        <v>13500000</v>
      </c>
      <c r="J17" s="95">
        <f t="shared" si="10"/>
        <v>1350000</v>
      </c>
      <c r="K17" s="96">
        <f t="shared" si="10"/>
        <v>14850000</v>
      </c>
    </row>
    <row r="19" spans="2:11" ht="15.75" thickBot="1" x14ac:dyDescent="0.3">
      <c r="B19" s="160" t="s">
        <v>21</v>
      </c>
      <c r="C19" s="160"/>
      <c r="D19" s="160"/>
      <c r="F19" s="165" t="s">
        <v>136</v>
      </c>
      <c r="G19" s="165"/>
      <c r="H19" s="165"/>
      <c r="I19" s="165"/>
    </row>
    <row r="20" spans="2:11" ht="15.75" thickBot="1" x14ac:dyDescent="0.3">
      <c r="B20" s="81" t="s">
        <v>117</v>
      </c>
      <c r="C20" s="82" t="s">
        <v>118</v>
      </c>
      <c r="D20" s="83" t="s">
        <v>84</v>
      </c>
      <c r="F20" s="163" t="s">
        <v>137</v>
      </c>
      <c r="G20" s="86" t="s">
        <v>131</v>
      </c>
      <c r="H20" s="84" t="s">
        <v>133</v>
      </c>
      <c r="I20" s="85" t="s">
        <v>135</v>
      </c>
    </row>
    <row r="21" spans="2:11" ht="15.75" thickBot="1" x14ac:dyDescent="0.3">
      <c r="B21" s="7" t="s">
        <v>126</v>
      </c>
      <c r="C21" s="8" t="s">
        <v>131</v>
      </c>
      <c r="D21" s="9">
        <v>25000</v>
      </c>
      <c r="F21" s="164"/>
      <c r="G21" s="54">
        <f>SUMIF($D$4:$D$13,"SB",$G$4:$G$13)</f>
        <v>283</v>
      </c>
      <c r="H21" s="5">
        <f>SUMIF($D$4:$D$13,"DG",$G$4:$G$13)</f>
        <v>127</v>
      </c>
      <c r="I21" s="6">
        <f>SUMIF($D$4:$D$13,"BN",$G$4:$G$13)</f>
        <v>120</v>
      </c>
    </row>
    <row r="22" spans="2:11" x14ac:dyDescent="0.25">
      <c r="B22" s="2" t="s">
        <v>127</v>
      </c>
      <c r="C22" s="1" t="s">
        <v>132</v>
      </c>
      <c r="D22" s="3">
        <v>10000</v>
      </c>
    </row>
    <row r="23" spans="2:11" x14ac:dyDescent="0.25">
      <c r="B23" s="2" t="s">
        <v>128</v>
      </c>
      <c r="C23" s="1" t="s">
        <v>133</v>
      </c>
      <c r="D23" s="3">
        <v>5000</v>
      </c>
    </row>
    <row r="24" spans="2:11" x14ac:dyDescent="0.25">
      <c r="B24" s="2" t="s">
        <v>129</v>
      </c>
      <c r="C24" s="1" t="s">
        <v>134</v>
      </c>
      <c r="D24" s="3">
        <v>150000</v>
      </c>
    </row>
    <row r="25" spans="2:11" ht="15.75" thickBot="1" x14ac:dyDescent="0.3">
      <c r="B25" s="4" t="s">
        <v>130</v>
      </c>
      <c r="C25" s="5" t="s">
        <v>135</v>
      </c>
      <c r="D25" s="6">
        <v>20000</v>
      </c>
    </row>
  </sheetData>
  <mergeCells count="8">
    <mergeCell ref="B2:K2"/>
    <mergeCell ref="F20:F21"/>
    <mergeCell ref="F19:I19"/>
    <mergeCell ref="B19:D19"/>
    <mergeCell ref="B14:F14"/>
    <mergeCell ref="B15:F15"/>
    <mergeCell ref="B16:F16"/>
    <mergeCell ref="B17:F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5"/>
  <sheetViews>
    <sheetView workbookViewId="0">
      <selection activeCell="L4" sqref="L4"/>
    </sheetView>
  </sheetViews>
  <sheetFormatPr defaultRowHeight="14.25" x14ac:dyDescent="0.2"/>
  <cols>
    <col min="1" max="1" width="9.140625" style="97"/>
    <col min="2" max="2" width="10.85546875" style="97" customWidth="1"/>
    <col min="3" max="3" width="12.5703125" style="97" customWidth="1"/>
    <col min="4" max="4" width="11.5703125" style="97" customWidth="1"/>
    <col min="5" max="5" width="10.7109375" style="97" customWidth="1"/>
    <col min="6" max="6" width="20.42578125" style="97" customWidth="1"/>
    <col min="7" max="7" width="9.85546875" style="97" customWidth="1"/>
    <col min="8" max="10" width="9.140625" style="97"/>
    <col min="11" max="11" width="14.28515625" style="97" customWidth="1"/>
    <col min="12" max="12" width="11" style="97" customWidth="1"/>
    <col min="13" max="16384" width="9.140625" style="97"/>
  </cols>
  <sheetData>
    <row r="2" spans="2:12" ht="21" thickBot="1" x14ac:dyDescent="0.35">
      <c r="B2" s="172" t="s">
        <v>148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2:12" ht="45" x14ac:dyDescent="0.2">
      <c r="B3" s="118" t="s">
        <v>149</v>
      </c>
      <c r="C3" s="119" t="s">
        <v>150</v>
      </c>
      <c r="D3" s="119" t="s">
        <v>151</v>
      </c>
      <c r="E3" s="119" t="s">
        <v>152</v>
      </c>
      <c r="F3" s="119" t="s">
        <v>153</v>
      </c>
      <c r="G3" s="119" t="s">
        <v>154</v>
      </c>
      <c r="H3" s="119" t="s">
        <v>155</v>
      </c>
      <c r="I3" s="119" t="s">
        <v>84</v>
      </c>
      <c r="J3" s="119" t="s">
        <v>156</v>
      </c>
      <c r="K3" s="119" t="s">
        <v>157</v>
      </c>
      <c r="L3" s="120" t="s">
        <v>158</v>
      </c>
    </row>
    <row r="4" spans="2:12" x14ac:dyDescent="0.2">
      <c r="B4" s="116" t="s">
        <v>159</v>
      </c>
      <c r="C4" s="98" t="s">
        <v>165</v>
      </c>
      <c r="D4" s="121" t="str">
        <f>LEFT(B4,2)</f>
        <v>ND</v>
      </c>
      <c r="E4" s="98">
        <v>1397</v>
      </c>
      <c r="F4" s="98">
        <v>1500</v>
      </c>
      <c r="G4" s="98">
        <f>IF(F4&gt;E4,F4-E4,10000+F4-E4)</f>
        <v>103</v>
      </c>
      <c r="H4" s="98">
        <f>VLOOKUP(D4,$B$13:$D$15,2,FALSE)</f>
        <v>100</v>
      </c>
      <c r="I4" s="98">
        <f>VLOOKUP(D4,$B$13:$D$15,3,FALSE)</f>
        <v>50</v>
      </c>
      <c r="J4" s="98">
        <f>IF(G4&gt;H4,G4-H4,0)</f>
        <v>3</v>
      </c>
      <c r="K4" s="98">
        <f>IF(G4&gt;H4,H4*I4,G4*I4)</f>
        <v>5000</v>
      </c>
      <c r="L4" s="102">
        <f>IF(G4&gt;H4,HLOOKUP(G4-H4,$G$12:$K$13,2,TRUE)*J4*I4,0)</f>
        <v>225</v>
      </c>
    </row>
    <row r="5" spans="2:12" x14ac:dyDescent="0.2">
      <c r="B5" s="116" t="s">
        <v>160</v>
      </c>
      <c r="C5" s="98" t="s">
        <v>166</v>
      </c>
      <c r="D5" s="121" t="str">
        <f t="shared" ref="D5:D9" si="0">LEFT(B5,2)</f>
        <v>ND</v>
      </c>
      <c r="E5" s="98">
        <v>5555</v>
      </c>
      <c r="F5" s="98">
        <v>5580</v>
      </c>
      <c r="G5" s="98">
        <f t="shared" ref="G5:G9" si="1">IF(F5&gt;E5,F5-E5,10000+F5-E5)</f>
        <v>25</v>
      </c>
      <c r="H5" s="98">
        <f t="shared" ref="H5:H9" si="2">VLOOKUP(D5,$B$13:$D$15,2,FALSE)</f>
        <v>100</v>
      </c>
      <c r="I5" s="98">
        <f t="shared" ref="I5:I9" si="3">VLOOKUP(D5,$B$13:$D$15,3,FALSE)</f>
        <v>50</v>
      </c>
      <c r="J5" s="98">
        <f t="shared" ref="J5:J9" si="4">IF(G5&gt;H5,G5-H5,0)</f>
        <v>0</v>
      </c>
      <c r="K5" s="98">
        <f t="shared" ref="K5:K9" si="5">IF(G5&gt;H5,H5*I5,G5*I5)</f>
        <v>1250</v>
      </c>
      <c r="L5" s="102">
        <f t="shared" ref="L5:L9" si="6">IF(G5&gt;H5,HLOOKUP(G5-H5,$G$12:$K$13,2,TRUE)*J5*I5,0)</f>
        <v>0</v>
      </c>
    </row>
    <row r="6" spans="2:12" x14ac:dyDescent="0.2">
      <c r="B6" s="116" t="s">
        <v>161</v>
      </c>
      <c r="C6" s="98" t="s">
        <v>167</v>
      </c>
      <c r="D6" s="121" t="str">
        <f t="shared" si="0"/>
        <v>SX</v>
      </c>
      <c r="E6" s="98">
        <v>4500</v>
      </c>
      <c r="F6" s="98">
        <v>4700</v>
      </c>
      <c r="G6" s="98">
        <f t="shared" si="1"/>
        <v>200</v>
      </c>
      <c r="H6" s="98">
        <f t="shared" si="2"/>
        <v>300</v>
      </c>
      <c r="I6" s="98">
        <f t="shared" si="3"/>
        <v>60</v>
      </c>
      <c r="J6" s="98">
        <f t="shared" si="4"/>
        <v>0</v>
      </c>
      <c r="K6" s="98">
        <f t="shared" si="5"/>
        <v>12000</v>
      </c>
      <c r="L6" s="102">
        <f t="shared" si="6"/>
        <v>0</v>
      </c>
    </row>
    <row r="7" spans="2:12" x14ac:dyDescent="0.2">
      <c r="B7" s="116" t="s">
        <v>162</v>
      </c>
      <c r="C7" s="98" t="s">
        <v>168</v>
      </c>
      <c r="D7" s="121" t="str">
        <f t="shared" si="0"/>
        <v>SX</v>
      </c>
      <c r="E7" s="98">
        <v>6000</v>
      </c>
      <c r="F7" s="98">
        <v>6400</v>
      </c>
      <c r="G7" s="98">
        <f t="shared" si="1"/>
        <v>400</v>
      </c>
      <c r="H7" s="98">
        <f t="shared" si="2"/>
        <v>300</v>
      </c>
      <c r="I7" s="98">
        <f t="shared" si="3"/>
        <v>60</v>
      </c>
      <c r="J7" s="98">
        <f t="shared" si="4"/>
        <v>100</v>
      </c>
      <c r="K7" s="98">
        <f t="shared" si="5"/>
        <v>18000</v>
      </c>
      <c r="L7" s="102">
        <f t="shared" si="6"/>
        <v>15000</v>
      </c>
    </row>
    <row r="8" spans="2:12" x14ac:dyDescent="0.2">
      <c r="B8" s="116" t="s">
        <v>163</v>
      </c>
      <c r="C8" s="98" t="s">
        <v>169</v>
      </c>
      <c r="D8" s="121" t="str">
        <f t="shared" si="0"/>
        <v>KD</v>
      </c>
      <c r="E8" s="98">
        <v>9950</v>
      </c>
      <c r="F8" s="98">
        <v>150</v>
      </c>
      <c r="G8" s="98">
        <f t="shared" si="1"/>
        <v>200</v>
      </c>
      <c r="H8" s="98">
        <f t="shared" si="2"/>
        <v>500</v>
      </c>
      <c r="I8" s="98">
        <f t="shared" si="3"/>
        <v>80</v>
      </c>
      <c r="J8" s="98">
        <f t="shared" si="4"/>
        <v>0</v>
      </c>
      <c r="K8" s="98">
        <f t="shared" si="5"/>
        <v>16000</v>
      </c>
      <c r="L8" s="102">
        <f t="shared" si="6"/>
        <v>0</v>
      </c>
    </row>
    <row r="9" spans="2:12" ht="15" thickBot="1" x14ac:dyDescent="0.25">
      <c r="B9" s="117" t="s">
        <v>164</v>
      </c>
      <c r="C9" s="104" t="s">
        <v>170</v>
      </c>
      <c r="D9" s="122" t="str">
        <f t="shared" si="0"/>
        <v>KD</v>
      </c>
      <c r="E9" s="104">
        <v>9800</v>
      </c>
      <c r="F9" s="104">
        <v>700</v>
      </c>
      <c r="G9" s="104">
        <f t="shared" si="1"/>
        <v>900</v>
      </c>
      <c r="H9" s="104">
        <f t="shared" si="2"/>
        <v>500</v>
      </c>
      <c r="I9" s="104">
        <f t="shared" si="3"/>
        <v>80</v>
      </c>
      <c r="J9" s="104">
        <f t="shared" si="4"/>
        <v>400</v>
      </c>
      <c r="K9" s="104">
        <f t="shared" si="5"/>
        <v>40000</v>
      </c>
      <c r="L9" s="105">
        <f t="shared" si="6"/>
        <v>96000</v>
      </c>
    </row>
    <row r="11" spans="2:12" ht="15" thickBot="1" x14ac:dyDescent="0.25">
      <c r="B11" s="170" t="s">
        <v>171</v>
      </c>
      <c r="C11" s="170"/>
      <c r="D11" s="170"/>
      <c r="F11" s="171" t="s">
        <v>175</v>
      </c>
      <c r="G11" s="171"/>
      <c r="H11" s="171"/>
      <c r="I11" s="171"/>
      <c r="J11" s="171"/>
      <c r="K11" s="171"/>
    </row>
    <row r="12" spans="2:12" ht="15.75" thickBot="1" x14ac:dyDescent="0.3">
      <c r="B12" s="109" t="s">
        <v>151</v>
      </c>
      <c r="C12" s="110" t="s">
        <v>155</v>
      </c>
      <c r="D12" s="111" t="s">
        <v>84</v>
      </c>
      <c r="F12" s="114" t="s">
        <v>176</v>
      </c>
      <c r="G12" s="112">
        <v>0</v>
      </c>
      <c r="H12" s="99">
        <v>1</v>
      </c>
      <c r="I12" s="99">
        <v>50</v>
      </c>
      <c r="J12" s="99">
        <v>100</v>
      </c>
      <c r="K12" s="100">
        <v>200</v>
      </c>
    </row>
    <row r="13" spans="2:12" ht="15.75" thickBot="1" x14ac:dyDescent="0.3">
      <c r="B13" s="106" t="s">
        <v>172</v>
      </c>
      <c r="C13" s="107">
        <v>100</v>
      </c>
      <c r="D13" s="108">
        <v>50</v>
      </c>
      <c r="F13" s="115" t="s">
        <v>177</v>
      </c>
      <c r="G13" s="113">
        <v>0</v>
      </c>
      <c r="H13" s="104">
        <v>1.5</v>
      </c>
      <c r="I13" s="104">
        <v>2</v>
      </c>
      <c r="J13" s="104">
        <v>2.5</v>
      </c>
      <c r="K13" s="105">
        <v>3</v>
      </c>
    </row>
    <row r="14" spans="2:12" x14ac:dyDescent="0.2">
      <c r="B14" s="101" t="s">
        <v>173</v>
      </c>
      <c r="C14" s="98">
        <v>300</v>
      </c>
      <c r="D14" s="102">
        <v>60</v>
      </c>
    </row>
    <row r="15" spans="2:12" ht="15" thickBot="1" x14ac:dyDescent="0.25">
      <c r="B15" s="103" t="s">
        <v>174</v>
      </c>
      <c r="C15" s="104">
        <v>500</v>
      </c>
      <c r="D15" s="105">
        <v>80</v>
      </c>
    </row>
  </sheetData>
  <mergeCells count="3">
    <mergeCell ref="B11:D11"/>
    <mergeCell ref="F11:K11"/>
    <mergeCell ref="B2:L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"/>
  <sheetViews>
    <sheetView workbookViewId="0">
      <selection activeCell="B3" sqref="B3:J4"/>
    </sheetView>
  </sheetViews>
  <sheetFormatPr defaultRowHeight="15" x14ac:dyDescent="0.25"/>
  <cols>
    <col min="1" max="1" width="4" customWidth="1"/>
    <col min="2" max="2" width="9.140625" customWidth="1"/>
    <col min="3" max="3" width="12.5703125" customWidth="1"/>
    <col min="4" max="4" width="9.28515625" customWidth="1"/>
    <col min="5" max="5" width="15.85546875" customWidth="1"/>
    <col min="6" max="10" width="10.5703125" customWidth="1"/>
  </cols>
  <sheetData>
    <row r="2" spans="2:10" ht="21.75" thickBot="1" x14ac:dyDescent="0.3">
      <c r="B2" s="173" t="s">
        <v>178</v>
      </c>
      <c r="C2" s="173"/>
      <c r="D2" s="173"/>
      <c r="E2" s="173"/>
      <c r="F2" s="173"/>
      <c r="G2" s="173"/>
      <c r="H2" s="173"/>
      <c r="I2" s="173"/>
      <c r="J2" s="173"/>
    </row>
    <row r="3" spans="2:10" x14ac:dyDescent="0.25">
      <c r="B3" s="177" t="s">
        <v>115</v>
      </c>
      <c r="C3" s="175" t="s">
        <v>179</v>
      </c>
      <c r="D3" s="175"/>
      <c r="E3" s="175"/>
      <c r="F3" s="175" t="s">
        <v>187</v>
      </c>
      <c r="G3" s="175"/>
      <c r="H3" s="175"/>
      <c r="I3" s="175"/>
      <c r="J3" s="176"/>
    </row>
    <row r="4" spans="2:10" ht="15.75" thickBot="1" x14ac:dyDescent="0.3">
      <c r="B4" s="178"/>
      <c r="C4" s="141" t="s">
        <v>180</v>
      </c>
      <c r="D4" s="141" t="s">
        <v>181</v>
      </c>
      <c r="E4" s="141" t="s">
        <v>182</v>
      </c>
      <c r="F4" s="141" t="s">
        <v>111</v>
      </c>
      <c r="G4" s="141" t="s">
        <v>183</v>
      </c>
      <c r="H4" s="141" t="s">
        <v>184</v>
      </c>
      <c r="I4" s="141" t="s">
        <v>185</v>
      </c>
      <c r="J4" s="142" t="s">
        <v>186</v>
      </c>
    </row>
    <row r="5" spans="2:10" x14ac:dyDescent="0.25">
      <c r="B5" s="124">
        <v>1</v>
      </c>
      <c r="C5" s="8" t="s">
        <v>188</v>
      </c>
      <c r="D5" s="129" t="str">
        <f>LEFT(C5,2)</f>
        <v>KB</v>
      </c>
      <c r="E5" s="8" t="str">
        <f>VLOOKUP(D5,$B$19:$D$22,2,FALSE)</f>
        <v>Keyboard</v>
      </c>
      <c r="F5" s="8">
        <v>100</v>
      </c>
      <c r="G5" s="21">
        <f>F5*VLOOKUP(D5,$B$19:$D$22,3,FALSE)</f>
        <v>900</v>
      </c>
      <c r="H5" s="21">
        <f>IF(F5&lt;100, 120%, IF(F5&lt;150, 112%, 105%))*G5</f>
        <v>1008.0000000000001</v>
      </c>
      <c r="I5" s="130">
        <f>10%*(H5-G5)</f>
        <v>10.800000000000011</v>
      </c>
      <c r="J5" s="132">
        <f>H5-(G5+I5)</f>
        <v>97.200000000000159</v>
      </c>
    </row>
    <row r="6" spans="2:10" x14ac:dyDescent="0.25">
      <c r="B6" s="125">
        <v>2</v>
      </c>
      <c r="C6" s="1" t="s">
        <v>189</v>
      </c>
      <c r="D6" s="123" t="str">
        <f t="shared" ref="D6:D12" si="0">LEFT(C6,2)</f>
        <v>KB</v>
      </c>
      <c r="E6" s="1" t="str">
        <f t="shared" ref="E6:E12" si="1">VLOOKUP(D6,$B$19:$D$22,2,FALSE)</f>
        <v>Keyboard</v>
      </c>
      <c r="F6" s="1">
        <v>200</v>
      </c>
      <c r="G6" s="22">
        <f t="shared" ref="G6:G12" si="2">F6*VLOOKUP(D6,$B$19:$D$22,3,FALSE)</f>
        <v>1800</v>
      </c>
      <c r="H6" s="22">
        <f t="shared" ref="H6:H12" si="3">IF(F6&lt;100, 120%, IF(F6&lt;150, 112%, 105%))*G6</f>
        <v>1890</v>
      </c>
      <c r="I6" s="131">
        <f t="shared" ref="I6:I12" si="4">10%*(H6-G6)</f>
        <v>9</v>
      </c>
      <c r="J6" s="133">
        <f t="shared" ref="J6:J12" si="5">H6-(G6+I6)</f>
        <v>81</v>
      </c>
    </row>
    <row r="7" spans="2:10" x14ac:dyDescent="0.25">
      <c r="B7" s="125">
        <v>3</v>
      </c>
      <c r="C7" s="1" t="s">
        <v>190</v>
      </c>
      <c r="D7" s="123" t="str">
        <f t="shared" si="0"/>
        <v>MO</v>
      </c>
      <c r="E7" s="1" t="str">
        <f t="shared" si="1"/>
        <v>Monitor</v>
      </c>
      <c r="F7" s="1">
        <v>50</v>
      </c>
      <c r="G7" s="22">
        <f t="shared" si="2"/>
        <v>5500</v>
      </c>
      <c r="H7" s="22">
        <f t="shared" si="3"/>
        <v>6600</v>
      </c>
      <c r="I7" s="131">
        <f t="shared" si="4"/>
        <v>110</v>
      </c>
      <c r="J7" s="133">
        <f t="shared" si="5"/>
        <v>990</v>
      </c>
    </row>
    <row r="8" spans="2:10" x14ac:dyDescent="0.25">
      <c r="B8" s="125">
        <v>4</v>
      </c>
      <c r="C8" s="1" t="s">
        <v>191</v>
      </c>
      <c r="D8" s="123" t="str">
        <f t="shared" si="0"/>
        <v>FD</v>
      </c>
      <c r="E8" s="1" t="str">
        <f t="shared" si="1"/>
        <v>Floppy Disk</v>
      </c>
      <c r="F8" s="1">
        <v>500</v>
      </c>
      <c r="G8" s="22">
        <f t="shared" si="2"/>
        <v>4000</v>
      </c>
      <c r="H8" s="22">
        <f t="shared" si="3"/>
        <v>4200</v>
      </c>
      <c r="I8" s="131">
        <f t="shared" si="4"/>
        <v>20</v>
      </c>
      <c r="J8" s="133">
        <f t="shared" si="5"/>
        <v>180</v>
      </c>
    </row>
    <row r="9" spans="2:10" x14ac:dyDescent="0.25">
      <c r="B9" s="125">
        <v>5</v>
      </c>
      <c r="C9" s="1" t="s">
        <v>192</v>
      </c>
      <c r="D9" s="123" t="str">
        <f t="shared" si="0"/>
        <v>HD</v>
      </c>
      <c r="E9" s="1" t="str">
        <f t="shared" si="1"/>
        <v>Hard Disk</v>
      </c>
      <c r="F9" s="1">
        <v>80</v>
      </c>
      <c r="G9" s="22">
        <f t="shared" si="2"/>
        <v>6400</v>
      </c>
      <c r="H9" s="22">
        <f t="shared" si="3"/>
        <v>7680</v>
      </c>
      <c r="I9" s="131">
        <f t="shared" si="4"/>
        <v>128</v>
      </c>
      <c r="J9" s="133">
        <f t="shared" si="5"/>
        <v>1152</v>
      </c>
    </row>
    <row r="10" spans="2:10" x14ac:dyDescent="0.25">
      <c r="B10" s="125">
        <v>6</v>
      </c>
      <c r="C10" s="1" t="s">
        <v>193</v>
      </c>
      <c r="D10" s="123" t="str">
        <f t="shared" si="0"/>
        <v>MO</v>
      </c>
      <c r="E10" s="1" t="str">
        <f t="shared" si="1"/>
        <v>Monitor</v>
      </c>
      <c r="F10" s="1">
        <v>450</v>
      </c>
      <c r="G10" s="22">
        <f t="shared" si="2"/>
        <v>49500</v>
      </c>
      <c r="H10" s="22">
        <f t="shared" si="3"/>
        <v>51975</v>
      </c>
      <c r="I10" s="131">
        <f t="shared" si="4"/>
        <v>247.5</v>
      </c>
      <c r="J10" s="133">
        <f t="shared" si="5"/>
        <v>2227.5</v>
      </c>
    </row>
    <row r="11" spans="2:10" x14ac:dyDescent="0.25">
      <c r="B11" s="125">
        <v>7</v>
      </c>
      <c r="C11" s="1" t="s">
        <v>194</v>
      </c>
      <c r="D11" s="123" t="str">
        <f t="shared" si="0"/>
        <v>FD</v>
      </c>
      <c r="E11" s="1" t="str">
        <f t="shared" si="1"/>
        <v>Floppy Disk</v>
      </c>
      <c r="F11" s="1">
        <v>50</v>
      </c>
      <c r="G11" s="22">
        <f t="shared" si="2"/>
        <v>400</v>
      </c>
      <c r="H11" s="22">
        <f t="shared" si="3"/>
        <v>480</v>
      </c>
      <c r="I11" s="131">
        <f t="shared" si="4"/>
        <v>8</v>
      </c>
      <c r="J11" s="133">
        <f t="shared" si="5"/>
        <v>72</v>
      </c>
    </row>
    <row r="12" spans="2:10" x14ac:dyDescent="0.25">
      <c r="B12" s="125">
        <v>8</v>
      </c>
      <c r="C12" s="1" t="s">
        <v>195</v>
      </c>
      <c r="D12" s="123" t="str">
        <f t="shared" si="0"/>
        <v>HD</v>
      </c>
      <c r="E12" s="1" t="str">
        <f t="shared" si="1"/>
        <v>Hard Disk</v>
      </c>
      <c r="F12" s="1">
        <v>70</v>
      </c>
      <c r="G12" s="22">
        <f t="shared" si="2"/>
        <v>5600</v>
      </c>
      <c r="H12" s="22">
        <f t="shared" si="3"/>
        <v>6720</v>
      </c>
      <c r="I12" s="131">
        <f t="shared" si="4"/>
        <v>112</v>
      </c>
      <c r="J12" s="133">
        <f t="shared" si="5"/>
        <v>1008</v>
      </c>
    </row>
    <row r="13" spans="2:10" x14ac:dyDescent="0.25">
      <c r="B13" s="166" t="s">
        <v>196</v>
      </c>
      <c r="C13" s="167"/>
      <c r="D13" s="167"/>
      <c r="E13" s="167"/>
      <c r="F13" s="167"/>
      <c r="G13" s="167"/>
      <c r="H13" s="167"/>
      <c r="I13" s="167"/>
      <c r="J13" s="134">
        <f>MIN(J5:J12)</f>
        <v>72</v>
      </c>
    </row>
    <row r="14" spans="2:10" x14ac:dyDescent="0.25">
      <c r="B14" s="166" t="s">
        <v>197</v>
      </c>
      <c r="C14" s="167"/>
      <c r="D14" s="167"/>
      <c r="E14" s="167"/>
      <c r="F14" s="167"/>
      <c r="G14" s="167"/>
      <c r="H14" s="167"/>
      <c r="I14" s="167"/>
      <c r="J14" s="134">
        <f>MAX(J5:J12)</f>
        <v>2227.5</v>
      </c>
    </row>
    <row r="15" spans="2:10" ht="15.75" thickBot="1" x14ac:dyDescent="0.3">
      <c r="B15" s="168" t="s">
        <v>122</v>
      </c>
      <c r="C15" s="169"/>
      <c r="D15" s="169"/>
      <c r="E15" s="169"/>
      <c r="F15" s="169"/>
      <c r="G15" s="169"/>
      <c r="H15" s="169"/>
      <c r="I15" s="169"/>
      <c r="J15" s="135">
        <f>SUM(J5:J12)</f>
        <v>5807.7000000000007</v>
      </c>
    </row>
    <row r="17" spans="2:7" ht="15.75" thickBot="1" x14ac:dyDescent="0.3">
      <c r="B17" s="174" t="s">
        <v>198</v>
      </c>
      <c r="C17" s="174"/>
      <c r="D17" s="174"/>
      <c r="F17" s="174" t="s">
        <v>209</v>
      </c>
      <c r="G17" s="174"/>
    </row>
    <row r="18" spans="2:7" ht="15.75" thickBot="1" x14ac:dyDescent="0.3">
      <c r="B18" s="126" t="s">
        <v>208</v>
      </c>
      <c r="C18" s="127" t="s">
        <v>182</v>
      </c>
      <c r="D18" s="128" t="s">
        <v>203</v>
      </c>
      <c r="F18" s="137" t="s">
        <v>208</v>
      </c>
      <c r="G18" s="138" t="s">
        <v>186</v>
      </c>
    </row>
    <row r="19" spans="2:7" x14ac:dyDescent="0.25">
      <c r="B19" s="7" t="s">
        <v>199</v>
      </c>
      <c r="C19" s="8" t="s">
        <v>204</v>
      </c>
      <c r="D19" s="9">
        <v>9</v>
      </c>
      <c r="F19" s="88" t="s">
        <v>199</v>
      </c>
      <c r="G19" s="132">
        <f>SUMIF($D$5:$D$12,F19,$J$5:$J$12)</f>
        <v>178.20000000000016</v>
      </c>
    </row>
    <row r="20" spans="2:7" x14ac:dyDescent="0.25">
      <c r="B20" s="2" t="s">
        <v>200</v>
      </c>
      <c r="C20" s="1" t="s">
        <v>205</v>
      </c>
      <c r="D20" s="3">
        <v>80</v>
      </c>
      <c r="F20" s="80" t="s">
        <v>200</v>
      </c>
      <c r="G20" s="133">
        <f t="shared" ref="G20:G22" si="6">SUMIF($D$5:$D$12,F20,$J$5:$J$12)</f>
        <v>2160</v>
      </c>
    </row>
    <row r="21" spans="2:7" x14ac:dyDescent="0.25">
      <c r="B21" s="2" t="s">
        <v>201</v>
      </c>
      <c r="C21" s="1" t="s">
        <v>206</v>
      </c>
      <c r="D21" s="3">
        <v>110</v>
      </c>
      <c r="F21" s="80" t="s">
        <v>201</v>
      </c>
      <c r="G21" s="133">
        <f t="shared" si="6"/>
        <v>3217.5</v>
      </c>
    </row>
    <row r="22" spans="2:7" ht="15.75" thickBot="1" x14ac:dyDescent="0.3">
      <c r="B22" s="4" t="s">
        <v>202</v>
      </c>
      <c r="C22" s="5" t="s">
        <v>207</v>
      </c>
      <c r="D22" s="6">
        <v>8</v>
      </c>
      <c r="F22" s="136" t="s">
        <v>202</v>
      </c>
      <c r="G22" s="139">
        <f t="shared" si="6"/>
        <v>252</v>
      </c>
    </row>
  </sheetData>
  <mergeCells count="9">
    <mergeCell ref="B2:J2"/>
    <mergeCell ref="B17:D17"/>
    <mergeCell ref="F17:G17"/>
    <mergeCell ref="F3:J3"/>
    <mergeCell ref="C3:E3"/>
    <mergeCell ref="B3:B4"/>
    <mergeCell ref="B13:I13"/>
    <mergeCell ref="B14:I14"/>
    <mergeCell ref="B15:I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workbookViewId="0">
      <selection activeCell="K6" sqref="K6"/>
    </sheetView>
  </sheetViews>
  <sheetFormatPr defaultRowHeight="15" x14ac:dyDescent="0.25"/>
  <cols>
    <col min="3" max="3" width="16.5703125" customWidth="1"/>
  </cols>
  <sheetData>
    <row r="2" spans="2:11" ht="21.75" thickBot="1" x14ac:dyDescent="0.3">
      <c r="B2" s="173" t="s">
        <v>0</v>
      </c>
      <c r="C2" s="173"/>
      <c r="D2" s="173"/>
      <c r="E2" s="173"/>
      <c r="F2" s="173"/>
      <c r="G2" s="173"/>
      <c r="H2" s="173"/>
      <c r="I2" s="173"/>
      <c r="J2" s="173"/>
      <c r="K2" s="173"/>
    </row>
    <row r="3" spans="2:11" ht="15.75" thickBot="1" x14ac:dyDescent="0.3">
      <c r="B3" s="137" t="s">
        <v>1</v>
      </c>
      <c r="C3" s="140" t="s">
        <v>210</v>
      </c>
      <c r="D3" s="140" t="s">
        <v>211</v>
      </c>
      <c r="E3" s="140" t="s">
        <v>3</v>
      </c>
      <c r="F3" s="140" t="s">
        <v>5</v>
      </c>
      <c r="G3" s="140" t="s">
        <v>6</v>
      </c>
      <c r="H3" s="140" t="s">
        <v>212</v>
      </c>
      <c r="I3" s="140" t="s">
        <v>7</v>
      </c>
      <c r="J3" s="140" t="s">
        <v>8</v>
      </c>
      <c r="K3" s="138" t="s">
        <v>213</v>
      </c>
    </row>
    <row r="4" spans="2:11" x14ac:dyDescent="0.25">
      <c r="B4" s="7" t="s">
        <v>214</v>
      </c>
      <c r="C4" s="8" t="s">
        <v>221</v>
      </c>
      <c r="D4" s="8" t="s">
        <v>228</v>
      </c>
      <c r="E4" s="19" t="str">
        <f>LEFT(B4,2)</f>
        <v>LD</v>
      </c>
      <c r="F4" s="19">
        <f>INT(MID(B4,3,1))</f>
        <v>3</v>
      </c>
      <c r="G4" s="8">
        <f>VLOOKUP(E4,$E$14:$H$16,MATCH(F4,$E$13:$H$13,0),FALSE)</f>
        <v>4</v>
      </c>
      <c r="H4" s="8">
        <f>VLOOKUP(D4,$B$14:$C$16,2,FALSE)</f>
        <v>200</v>
      </c>
      <c r="I4" s="8">
        <f>$K$13*G4+H4</f>
        <v>3400</v>
      </c>
      <c r="J4" s="8">
        <f>IF(I4&gt;2000,15%*(I4-2000),0)</f>
        <v>210</v>
      </c>
      <c r="K4" s="9">
        <f>I4-J4</f>
        <v>3190</v>
      </c>
    </row>
    <row r="5" spans="2:11" x14ac:dyDescent="0.25">
      <c r="B5" s="2" t="s">
        <v>215</v>
      </c>
      <c r="C5" s="1" t="s">
        <v>222</v>
      </c>
      <c r="D5" s="1" t="s">
        <v>228</v>
      </c>
      <c r="E5" s="20" t="str">
        <f t="shared" ref="E5:E10" si="0">LEFT(B5,2)</f>
        <v>LD</v>
      </c>
      <c r="F5" s="20">
        <f t="shared" ref="F5:F10" si="1">INT(MID(B5,3,1))</f>
        <v>2</v>
      </c>
      <c r="G5" s="1">
        <f t="shared" ref="G5:G10" si="2">VLOOKUP(E5,$E$14:$H$16,MATCH(F5,$E$13:$H$13,0),FALSE)</f>
        <v>3.5</v>
      </c>
      <c r="H5" s="1">
        <f t="shared" ref="H5:H10" si="3">VLOOKUP(D5,$B$14:$C$16,2,FALSE)</f>
        <v>200</v>
      </c>
      <c r="I5" s="1">
        <f t="shared" ref="I5:I10" si="4">$K$13*G5+H5</f>
        <v>3000</v>
      </c>
      <c r="J5" s="1">
        <f t="shared" ref="J5:J10" si="5">IF(I5&gt;2000,15%*(I5-2000),0)</f>
        <v>150</v>
      </c>
      <c r="K5" s="3">
        <f t="shared" ref="K5:K10" si="6">I5-J5</f>
        <v>2850</v>
      </c>
    </row>
    <row r="6" spans="2:11" x14ac:dyDescent="0.25">
      <c r="B6" s="2" t="s">
        <v>216</v>
      </c>
      <c r="C6" s="1" t="s">
        <v>223</v>
      </c>
      <c r="D6" s="1" t="s">
        <v>229</v>
      </c>
      <c r="E6" s="20" t="str">
        <f t="shared" si="0"/>
        <v>CV</v>
      </c>
      <c r="F6" s="20">
        <f t="shared" si="1"/>
        <v>3</v>
      </c>
      <c r="G6" s="1">
        <f t="shared" si="2"/>
        <v>3</v>
      </c>
      <c r="H6" s="1">
        <f t="shared" si="3"/>
        <v>100</v>
      </c>
      <c r="I6" s="1">
        <f t="shared" si="4"/>
        <v>2500</v>
      </c>
      <c r="J6" s="1">
        <f t="shared" si="5"/>
        <v>75</v>
      </c>
      <c r="K6" s="3">
        <f t="shared" si="6"/>
        <v>2425</v>
      </c>
    </row>
    <row r="7" spans="2:11" x14ac:dyDescent="0.25">
      <c r="B7" s="2" t="s">
        <v>217</v>
      </c>
      <c r="C7" s="1" t="s">
        <v>224</v>
      </c>
      <c r="D7" s="1" t="s">
        <v>230</v>
      </c>
      <c r="E7" s="20" t="str">
        <f t="shared" si="0"/>
        <v>CV</v>
      </c>
      <c r="F7" s="20">
        <f t="shared" si="1"/>
        <v>1</v>
      </c>
      <c r="G7" s="1">
        <f t="shared" si="2"/>
        <v>2</v>
      </c>
      <c r="H7" s="1">
        <f t="shared" si="3"/>
        <v>150</v>
      </c>
      <c r="I7" s="1">
        <f t="shared" si="4"/>
        <v>1750</v>
      </c>
      <c r="J7" s="1">
        <f t="shared" si="5"/>
        <v>0</v>
      </c>
      <c r="K7" s="3">
        <f t="shared" si="6"/>
        <v>1750</v>
      </c>
    </row>
    <row r="8" spans="2:11" x14ac:dyDescent="0.25">
      <c r="B8" s="2" t="s">
        <v>218</v>
      </c>
      <c r="C8" s="1" t="s">
        <v>225</v>
      </c>
      <c r="D8" s="1" t="s">
        <v>228</v>
      </c>
      <c r="E8" s="20" t="str">
        <f t="shared" si="0"/>
        <v>NV</v>
      </c>
      <c r="F8" s="20">
        <f t="shared" si="1"/>
        <v>1</v>
      </c>
      <c r="G8" s="1">
        <f t="shared" si="2"/>
        <v>1</v>
      </c>
      <c r="H8" s="1">
        <f t="shared" si="3"/>
        <v>200</v>
      </c>
      <c r="I8" s="1">
        <f t="shared" si="4"/>
        <v>1000</v>
      </c>
      <c r="J8" s="1">
        <f t="shared" si="5"/>
        <v>0</v>
      </c>
      <c r="K8" s="3">
        <f t="shared" si="6"/>
        <v>1000</v>
      </c>
    </row>
    <row r="9" spans="2:11" x14ac:dyDescent="0.25">
      <c r="B9" s="2" t="s">
        <v>219</v>
      </c>
      <c r="C9" s="1" t="s">
        <v>226</v>
      </c>
      <c r="D9" s="1" t="s">
        <v>230</v>
      </c>
      <c r="E9" s="20" t="str">
        <f t="shared" si="0"/>
        <v>NV</v>
      </c>
      <c r="F9" s="20">
        <f t="shared" si="1"/>
        <v>2</v>
      </c>
      <c r="G9" s="1">
        <f t="shared" si="2"/>
        <v>1.5</v>
      </c>
      <c r="H9" s="1">
        <f t="shared" si="3"/>
        <v>150</v>
      </c>
      <c r="I9" s="1">
        <f t="shared" si="4"/>
        <v>1350</v>
      </c>
      <c r="J9" s="1">
        <f t="shared" si="5"/>
        <v>0</v>
      </c>
      <c r="K9" s="3">
        <f t="shared" si="6"/>
        <v>1350</v>
      </c>
    </row>
    <row r="10" spans="2:11" ht="15.75" thickBot="1" x14ac:dyDescent="0.3">
      <c r="B10" s="4" t="s">
        <v>220</v>
      </c>
      <c r="C10" s="5" t="s">
        <v>227</v>
      </c>
      <c r="D10" s="5" t="s">
        <v>228</v>
      </c>
      <c r="E10" s="154" t="str">
        <f t="shared" si="0"/>
        <v>NV</v>
      </c>
      <c r="F10" s="154">
        <f t="shared" si="1"/>
        <v>3</v>
      </c>
      <c r="G10" s="5">
        <f t="shared" si="2"/>
        <v>2</v>
      </c>
      <c r="H10" s="5">
        <f t="shared" si="3"/>
        <v>200</v>
      </c>
      <c r="I10" s="5">
        <f t="shared" si="4"/>
        <v>1800</v>
      </c>
      <c r="J10" s="5">
        <f t="shared" si="5"/>
        <v>0</v>
      </c>
      <c r="K10" s="6">
        <f t="shared" si="6"/>
        <v>1800</v>
      </c>
    </row>
    <row r="12" spans="2:11" ht="15.75" thickBot="1" x14ac:dyDescent="0.3">
      <c r="B12" s="179" t="s">
        <v>231</v>
      </c>
      <c r="C12" s="179"/>
      <c r="E12" s="179" t="s">
        <v>233</v>
      </c>
      <c r="F12" s="179"/>
      <c r="G12" s="179"/>
      <c r="H12" s="179"/>
      <c r="J12" s="156" t="s">
        <v>235</v>
      </c>
    </row>
    <row r="13" spans="2:11" ht="15.75" thickBot="1" x14ac:dyDescent="0.3">
      <c r="B13" s="143" t="s">
        <v>211</v>
      </c>
      <c r="C13" s="144" t="s">
        <v>232</v>
      </c>
      <c r="E13" s="145"/>
      <c r="F13" s="143">
        <v>1</v>
      </c>
      <c r="G13" s="148">
        <v>2</v>
      </c>
      <c r="H13" s="144">
        <v>3</v>
      </c>
      <c r="K13" s="157">
        <v>800</v>
      </c>
    </row>
    <row r="14" spans="2:11" x14ac:dyDescent="0.25">
      <c r="B14" s="88" t="s">
        <v>228</v>
      </c>
      <c r="C14" s="9">
        <v>200</v>
      </c>
      <c r="E14" s="146" t="s">
        <v>24</v>
      </c>
      <c r="F14" s="149">
        <v>2</v>
      </c>
      <c r="G14" s="19">
        <v>2.5</v>
      </c>
      <c r="H14" s="150">
        <v>3</v>
      </c>
    </row>
    <row r="15" spans="2:11" x14ac:dyDescent="0.25">
      <c r="B15" s="80" t="s">
        <v>230</v>
      </c>
      <c r="C15" s="3">
        <v>150</v>
      </c>
      <c r="E15" s="146" t="s">
        <v>234</v>
      </c>
      <c r="F15" s="151">
        <v>3</v>
      </c>
      <c r="G15" s="20">
        <v>3.5</v>
      </c>
      <c r="H15" s="152">
        <v>4</v>
      </c>
    </row>
    <row r="16" spans="2:11" ht="15.75" thickBot="1" x14ac:dyDescent="0.3">
      <c r="B16" s="136" t="s">
        <v>229</v>
      </c>
      <c r="C16" s="6">
        <v>100</v>
      </c>
      <c r="E16" s="147" t="s">
        <v>22</v>
      </c>
      <c r="F16" s="153">
        <v>1</v>
      </c>
      <c r="G16" s="154">
        <v>1.5</v>
      </c>
      <c r="H16" s="155">
        <v>2</v>
      </c>
    </row>
  </sheetData>
  <mergeCells count="3">
    <mergeCell ref="B2:K2"/>
    <mergeCell ref="B12:C12"/>
    <mergeCell ref="E12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Bài 1</vt:lpstr>
      <vt:lpstr>Bài 2</vt:lpstr>
      <vt:lpstr>Bài 3</vt:lpstr>
      <vt:lpstr>Bài 4</vt:lpstr>
      <vt:lpstr>Bài 5</vt:lpstr>
      <vt:lpstr>Bài 6</vt:lpstr>
      <vt:lpstr>Bài 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thuya</dc:creator>
  <cp:lastModifiedBy>lyly</cp:lastModifiedBy>
  <dcterms:created xsi:type="dcterms:W3CDTF">2018-12-07T02:21:11Z</dcterms:created>
  <dcterms:modified xsi:type="dcterms:W3CDTF">2018-12-08T10:10:01Z</dcterms:modified>
</cp:coreProperties>
</file>